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57" documentId="13_ncr:1_{87E50E13-7456-42FF-9EC0-1278F951137D}" xr6:coauthVersionLast="47" xr6:coauthVersionMax="47" xr10:uidLastSave="{2344D09B-3CCA-4CBC-AE2F-EAD7092494B0}"/>
  <bookViews>
    <workbookView xWindow="-108" yWindow="-108" windowWidth="23256" windowHeight="12456" xr2:uid="{00000000-000D-0000-FFFF-FFFF00000000}"/>
  </bookViews>
  <sheets>
    <sheet name="ÜVK f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E31" i="2"/>
  <c r="D31" i="2"/>
  <c r="N42" i="2"/>
  <c r="L42" i="2"/>
  <c r="I42" i="2"/>
  <c r="H41" i="2"/>
  <c r="H42" i="2"/>
  <c r="F42" i="2"/>
  <c r="E41" i="2"/>
  <c r="E42" i="2"/>
  <c r="D42" i="2"/>
  <c r="D41" i="2"/>
  <c r="B44" i="2"/>
  <c r="B32" i="2"/>
  <c r="B52" i="2" l="1"/>
  <c r="C81" i="2"/>
  <c r="B31" i="2" l="1"/>
  <c r="C31" i="2" l="1"/>
  <c r="C32" i="2" s="1"/>
  <c r="B86" i="2" l="1"/>
  <c r="C42" i="2" l="1"/>
  <c r="C41" i="2"/>
  <c r="F41" i="2" s="1"/>
  <c r="G42" i="2" l="1"/>
  <c r="J42" i="2" s="1"/>
  <c r="K42" i="2" s="1"/>
  <c r="M42" i="2" s="1"/>
  <c r="E44" i="2"/>
  <c r="G41" i="2"/>
  <c r="I41" i="2" s="1"/>
  <c r="J41" i="2" s="1"/>
  <c r="K41" i="2" s="1"/>
  <c r="L41" i="2" s="1"/>
  <c r="M41" i="2" s="1"/>
  <c r="N41" i="2" s="1"/>
  <c r="F44" i="2"/>
  <c r="C44" i="2"/>
  <c r="D44" i="2" l="1"/>
  <c r="D86" i="2"/>
  <c r="E86" i="2"/>
  <c r="F86" i="2"/>
  <c r="G86" i="2"/>
  <c r="H86" i="2"/>
  <c r="I86" i="2"/>
  <c r="J86" i="2"/>
  <c r="K86" i="2"/>
  <c r="L86" i="2"/>
  <c r="M86" i="2"/>
  <c r="N86" i="2"/>
  <c r="C86" i="2"/>
  <c r="B53" i="2" l="1"/>
  <c r="B11" i="2" l="1"/>
  <c r="B10" i="2"/>
  <c r="G44" i="2" l="1"/>
  <c r="B9" i="2"/>
  <c r="C9" i="2" s="1"/>
  <c r="B8" i="2"/>
  <c r="C8" i="2" s="1"/>
  <c r="C53" i="2"/>
  <c r="H44" i="2" l="1"/>
  <c r="D53" i="2"/>
  <c r="I44" i="2" l="1"/>
  <c r="E53" i="2"/>
  <c r="J44" i="2" l="1"/>
  <c r="F53" i="2"/>
  <c r="K44" i="2" l="1"/>
  <c r="G53" i="2"/>
  <c r="L44" i="2" l="1"/>
  <c r="H53" i="2"/>
  <c r="E32" i="2"/>
  <c r="M44" i="2" l="1"/>
  <c r="N44" i="2"/>
  <c r="I53" i="2"/>
  <c r="F31" i="2"/>
  <c r="F32" i="2" s="1"/>
  <c r="J53" i="2" l="1"/>
  <c r="G31" i="2"/>
  <c r="G32" i="2" s="1"/>
  <c r="H31" i="2"/>
  <c r="H32" i="2" s="1"/>
  <c r="K53" i="2" l="1"/>
  <c r="I31" i="2"/>
  <c r="I32" i="2" s="1"/>
  <c r="L53" i="2" l="1"/>
  <c r="B56" i="2"/>
  <c r="B82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B5" i="2"/>
  <c r="C5" i="2"/>
  <c r="D5" i="2"/>
  <c r="E5" i="2"/>
  <c r="F5" i="2"/>
  <c r="G5" i="2"/>
  <c r="H5" i="2"/>
  <c r="I5" i="2"/>
  <c r="J5" i="2"/>
  <c r="K5" i="2"/>
  <c r="L5" i="2"/>
  <c r="M5" i="2"/>
  <c r="N5" i="2"/>
  <c r="M53" i="2" l="1"/>
  <c r="J31" i="2"/>
  <c r="J32" i="2" s="1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C11" i="2"/>
  <c r="D11" i="2" s="1"/>
  <c r="E11" i="2" s="1"/>
  <c r="K31" i="2"/>
  <c r="K32" i="2" s="1"/>
  <c r="D56" i="2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5" i="2" l="1"/>
  <c r="N24" i="2"/>
  <c r="N18" i="2"/>
  <c r="N53" i="2"/>
  <c r="M23" i="2"/>
  <c r="M21" i="2"/>
  <c r="C56" i="2"/>
  <c r="D18" i="2"/>
  <c r="C18" i="2"/>
  <c r="C19" i="2"/>
  <c r="D19" i="2"/>
  <c r="D81" i="2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C58" i="2"/>
  <c r="D58" i="2" s="1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C74" i="2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N23" i="2" l="1"/>
  <c r="N21" i="2"/>
  <c r="L31" i="2"/>
  <c r="L32" i="2" s="1"/>
  <c r="E18" i="2"/>
  <c r="E56" i="2"/>
  <c r="F56" i="2"/>
  <c r="E19" i="2"/>
  <c r="F11" i="2"/>
  <c r="G11" i="2" s="1"/>
  <c r="F18" i="2"/>
  <c r="C77" i="2"/>
  <c r="D77" i="2"/>
  <c r="E77" i="2"/>
  <c r="F77" i="2"/>
  <c r="G77" i="2"/>
  <c r="H77" i="2"/>
  <c r="I77" i="2"/>
  <c r="J77" i="2"/>
  <c r="K77" i="2"/>
  <c r="L77" i="2"/>
  <c r="M77" i="2"/>
  <c r="N77" i="2"/>
  <c r="B77" i="2"/>
  <c r="M31" i="2" l="1"/>
  <c r="M32" i="2" s="1"/>
  <c r="G56" i="2"/>
  <c r="G19" i="2"/>
  <c r="F19" i="2"/>
  <c r="G18" i="2"/>
  <c r="H11" i="2"/>
  <c r="N31" i="2" l="1"/>
  <c r="N32" i="2" s="1"/>
  <c r="H56" i="2"/>
  <c r="H19" i="2"/>
  <c r="I11" i="2"/>
  <c r="H18" i="2"/>
  <c r="I56" i="2" l="1"/>
  <c r="I19" i="2"/>
  <c r="J11" i="2"/>
  <c r="I18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C52" i="2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C40" i="2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C36" i="2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J56" i="2" l="1"/>
  <c r="J19" i="2"/>
  <c r="K11" i="2"/>
  <c r="J18" i="2"/>
  <c r="K56" i="2" l="1"/>
  <c r="K19" i="2"/>
  <c r="L11" i="2"/>
  <c r="K18" i="2"/>
  <c r="M56" i="2" l="1"/>
  <c r="L18" i="2"/>
  <c r="L19" i="2"/>
  <c r="M11" i="2"/>
  <c r="B67" i="2"/>
  <c r="C54" i="2"/>
  <c r="B54" i="2"/>
  <c r="B75" i="2"/>
  <c r="B59" i="2"/>
  <c r="L56" i="2" l="1"/>
  <c r="M19" i="2"/>
  <c r="N11" i="2"/>
  <c r="M18" i="2"/>
  <c r="C67" i="2"/>
  <c r="C82" i="2"/>
  <c r="D67" i="2"/>
  <c r="D82" i="2"/>
  <c r="D54" i="2"/>
  <c r="C75" i="2"/>
  <c r="C59" i="2"/>
  <c r="D75" i="2"/>
  <c r="D59" i="2"/>
  <c r="E82" i="2"/>
  <c r="N19" i="2" l="1"/>
  <c r="E54" i="2"/>
  <c r="F82" i="2"/>
  <c r="E67" i="2"/>
  <c r="E59" i="2"/>
  <c r="E75" i="2"/>
  <c r="N56" i="2" l="1"/>
  <c r="F54" i="2"/>
  <c r="G82" i="2"/>
  <c r="F59" i="2"/>
  <c r="F75" i="2"/>
  <c r="F67" i="2"/>
  <c r="G54" i="2" l="1"/>
  <c r="G75" i="2"/>
  <c r="G67" i="2"/>
  <c r="G59" i="2"/>
  <c r="H82" i="2"/>
  <c r="H54" i="2" l="1"/>
  <c r="I82" i="2"/>
  <c r="H75" i="2"/>
  <c r="H67" i="2"/>
  <c r="H59" i="2"/>
  <c r="I54" i="2" l="1"/>
  <c r="J82" i="2"/>
  <c r="I75" i="2"/>
  <c r="I67" i="2"/>
  <c r="I59" i="2"/>
  <c r="J54" i="2" l="1"/>
  <c r="K82" i="2"/>
  <c r="J67" i="2"/>
  <c r="J59" i="2"/>
  <c r="J75" i="2"/>
  <c r="K54" i="2" l="1"/>
  <c r="K67" i="2"/>
  <c r="K59" i="2"/>
  <c r="K75" i="2"/>
  <c r="L82" i="2"/>
  <c r="L54" i="2" l="1"/>
  <c r="N82" i="2"/>
  <c r="L67" i="2"/>
  <c r="L59" i="2"/>
  <c r="L75" i="2"/>
  <c r="M82" i="2"/>
  <c r="N54" i="2" l="1"/>
  <c r="M54" i="2"/>
  <c r="N59" i="2"/>
  <c r="N75" i="2"/>
  <c r="N67" i="2"/>
  <c r="M67" i="2"/>
  <c r="M59" i="2"/>
  <c r="M75" i="2"/>
  <c r="D8" i="2" l="1"/>
  <c r="C16" i="2"/>
  <c r="E8" i="2" l="1"/>
  <c r="D16" i="2"/>
  <c r="E16" i="2" l="1"/>
  <c r="F8" i="2"/>
  <c r="G8" i="2" l="1"/>
  <c r="F16" i="2"/>
  <c r="G16" i="2" l="1"/>
  <c r="H8" i="2"/>
  <c r="I8" i="2" l="1"/>
  <c r="H16" i="2"/>
  <c r="J8" i="2" l="1"/>
  <c r="I16" i="2"/>
  <c r="J16" i="2" l="1"/>
  <c r="K8" i="2"/>
  <c r="L8" i="2" l="1"/>
  <c r="K16" i="2"/>
  <c r="L16" i="2" l="1"/>
  <c r="M8" i="2"/>
  <c r="N8" i="2" l="1"/>
  <c r="N16" i="2" s="1"/>
  <c r="M16" i="2"/>
  <c r="B27" i="2" l="1"/>
  <c r="B84" i="2" s="1"/>
  <c r="B87" i="2" s="1"/>
  <c r="B88" i="2" s="1"/>
  <c r="C17" i="2"/>
  <c r="C27" i="2" s="1"/>
  <c r="D9" i="2" l="1"/>
  <c r="E9" i="2" s="1"/>
  <c r="C34" i="2"/>
  <c r="C84" i="2"/>
  <c r="C87" i="2" s="1"/>
  <c r="C88" i="2" s="1"/>
  <c r="C76" i="2"/>
  <c r="C60" i="2"/>
  <c r="C61" i="2" s="1"/>
  <c r="C64" i="2" s="1"/>
  <c r="C68" i="2"/>
  <c r="C69" i="2" s="1"/>
  <c r="B68" i="2"/>
  <c r="B69" i="2" s="1"/>
  <c r="B76" i="2"/>
  <c r="B34" i="2"/>
  <c r="B47" i="2" s="1"/>
  <c r="B45" i="2" s="1"/>
  <c r="B60" i="2"/>
  <c r="B61" i="2" s="1"/>
  <c r="B64" i="2" s="1"/>
  <c r="D17" i="2" l="1"/>
  <c r="D27" i="2" s="1"/>
  <c r="D76" i="2" s="1"/>
  <c r="C47" i="2"/>
  <c r="C45" i="2" s="1"/>
  <c r="C78" i="2"/>
  <c r="C79" i="2"/>
  <c r="B78" i="2"/>
  <c r="B79" i="2"/>
  <c r="F9" i="2"/>
  <c r="E17" i="2"/>
  <c r="E27" i="2" s="1"/>
  <c r="D84" i="2" l="1"/>
  <c r="D87" i="2" s="1"/>
  <c r="D88" i="2" s="1"/>
  <c r="D34" i="2"/>
  <c r="D47" i="2" s="1"/>
  <c r="D45" i="2" s="1"/>
  <c r="D68" i="2"/>
  <c r="D69" i="2" s="1"/>
  <c r="D60" i="2"/>
  <c r="D61" i="2" s="1"/>
  <c r="D64" i="2" s="1"/>
  <c r="E34" i="2"/>
  <c r="E84" i="2"/>
  <c r="E87" i="2" s="1"/>
  <c r="E68" i="2"/>
  <c r="E69" i="2" s="1"/>
  <c r="E76" i="2"/>
  <c r="E60" i="2"/>
  <c r="E61" i="2" s="1"/>
  <c r="E64" i="2" s="1"/>
  <c r="G9" i="2"/>
  <c r="F17" i="2"/>
  <c r="F27" i="2" s="1"/>
  <c r="D78" i="2"/>
  <c r="D79" i="2"/>
  <c r="E47" i="2" l="1"/>
  <c r="E45" i="2" s="1"/>
  <c r="E88" i="2"/>
  <c r="F68" i="2"/>
  <c r="F69" i="2" s="1"/>
  <c r="F84" i="2"/>
  <c r="F87" i="2" s="1"/>
  <c r="F34" i="2"/>
  <c r="F76" i="2"/>
  <c r="F60" i="2"/>
  <c r="F61" i="2" s="1"/>
  <c r="F64" i="2" s="1"/>
  <c r="G17" i="2"/>
  <c r="G27" i="2" s="1"/>
  <c r="H9" i="2"/>
  <c r="E78" i="2"/>
  <c r="E79" i="2"/>
  <c r="F47" i="2" l="1"/>
  <c r="F45" i="2" s="1"/>
  <c r="F88" i="2"/>
  <c r="I9" i="2"/>
  <c r="H17" i="2"/>
  <c r="H27" i="2" s="1"/>
  <c r="G76" i="2"/>
  <c r="G60" i="2"/>
  <c r="G61" i="2" s="1"/>
  <c r="G64" i="2" s="1"/>
  <c r="G68" i="2"/>
  <c r="G69" i="2" s="1"/>
  <c r="G84" i="2"/>
  <c r="G87" i="2" s="1"/>
  <c r="G34" i="2"/>
  <c r="F78" i="2"/>
  <c r="F79" i="2"/>
  <c r="G47" i="2" l="1"/>
  <c r="G45" i="2" s="1"/>
  <c r="G88" i="2"/>
  <c r="G78" i="2"/>
  <c r="G79" i="2"/>
  <c r="H76" i="2"/>
  <c r="H84" i="2"/>
  <c r="H87" i="2" s="1"/>
  <c r="H60" i="2"/>
  <c r="H61" i="2" s="1"/>
  <c r="H64" i="2" s="1"/>
  <c r="H34" i="2"/>
  <c r="H68" i="2"/>
  <c r="H69" i="2" s="1"/>
  <c r="J9" i="2"/>
  <c r="I17" i="2"/>
  <c r="I27" i="2" s="1"/>
  <c r="H47" i="2" l="1"/>
  <c r="H45" i="2" s="1"/>
  <c r="H88" i="2"/>
  <c r="H79" i="2"/>
  <c r="H78" i="2"/>
  <c r="I68" i="2"/>
  <c r="I69" i="2" s="1"/>
  <c r="I84" i="2"/>
  <c r="I87" i="2" s="1"/>
  <c r="I60" i="2"/>
  <c r="I61" i="2" s="1"/>
  <c r="I64" i="2" s="1"/>
  <c r="I76" i="2"/>
  <c r="I34" i="2"/>
  <c r="K9" i="2"/>
  <c r="J17" i="2"/>
  <c r="J27" i="2" s="1"/>
  <c r="I47" i="2" l="1"/>
  <c r="I45" i="2" s="1"/>
  <c r="I88" i="2"/>
  <c r="I78" i="2"/>
  <c r="I79" i="2"/>
  <c r="J76" i="2"/>
  <c r="J34" i="2"/>
  <c r="J84" i="2"/>
  <c r="J87" i="2" s="1"/>
  <c r="J68" i="2"/>
  <c r="J69" i="2" s="1"/>
  <c r="J60" i="2"/>
  <c r="J61" i="2" s="1"/>
  <c r="J64" i="2" s="1"/>
  <c r="K17" i="2"/>
  <c r="K27" i="2" s="1"/>
  <c r="L9" i="2"/>
  <c r="J47" i="2" l="1"/>
  <c r="J45" i="2" s="1"/>
  <c r="J88" i="2"/>
  <c r="J78" i="2"/>
  <c r="J79" i="2"/>
  <c r="L17" i="2"/>
  <c r="L27" i="2" s="1"/>
  <c r="M9" i="2"/>
  <c r="K76" i="2"/>
  <c r="K84" i="2"/>
  <c r="K87" i="2" s="1"/>
  <c r="K34" i="2"/>
  <c r="K68" i="2"/>
  <c r="K69" i="2" s="1"/>
  <c r="K60" i="2"/>
  <c r="K61" i="2" s="1"/>
  <c r="K64" i="2" s="1"/>
  <c r="K47" i="2" l="1"/>
  <c r="K45" i="2" s="1"/>
  <c r="K88" i="2"/>
  <c r="K78" i="2"/>
  <c r="K79" i="2"/>
  <c r="M17" i="2"/>
  <c r="M27" i="2" s="1"/>
  <c r="N9" i="2"/>
  <c r="N17" i="2" s="1"/>
  <c r="L34" i="2"/>
  <c r="L60" i="2"/>
  <c r="L61" i="2" s="1"/>
  <c r="L64" i="2" s="1"/>
  <c r="L84" i="2"/>
  <c r="L87" i="2" s="1"/>
  <c r="L68" i="2"/>
  <c r="L69" i="2" s="1"/>
  <c r="L76" i="2"/>
  <c r="L47" i="2" l="1"/>
  <c r="L45" i="2" s="1"/>
  <c r="L88" i="2"/>
  <c r="N27" i="2"/>
  <c r="M60" i="2"/>
  <c r="M61" i="2" s="1"/>
  <c r="M64" i="2" s="1"/>
  <c r="M34" i="2"/>
  <c r="M84" i="2"/>
  <c r="M87" i="2" s="1"/>
  <c r="M76" i="2"/>
  <c r="M68" i="2"/>
  <c r="M69" i="2" s="1"/>
  <c r="L79" i="2"/>
  <c r="L78" i="2"/>
  <c r="M47" i="2" l="1"/>
  <c r="M45" i="2" s="1"/>
  <c r="M88" i="2"/>
  <c r="N76" i="2"/>
  <c r="N84" i="2"/>
  <c r="N87" i="2" s="1"/>
  <c r="N60" i="2"/>
  <c r="N61" i="2" s="1"/>
  <c r="N64" i="2" s="1"/>
  <c r="N68" i="2"/>
  <c r="N69" i="2" s="1"/>
  <c r="N34" i="2"/>
  <c r="M79" i="2"/>
  <c r="M78" i="2"/>
  <c r="N47" i="2" l="1"/>
  <c r="N45" i="2" s="1"/>
  <c r="N88" i="2"/>
  <c r="N78" i="2"/>
  <c r="N79" i="2"/>
</calcChain>
</file>

<file path=xl/sharedStrings.xml><?xml version="1.0" encoding="utf-8"?>
<sst xmlns="http://schemas.openxmlformats.org/spreadsheetml/2006/main" count="69" uniqueCount="61">
  <si>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</si>
  <si>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</si>
  <si>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</si>
  <si>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</si>
  <si>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</si>
  <si>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</si>
  <si>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</si>
  <si>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</si>
  <si>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</si>
  <si>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</si>
  <si>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</si>
  <si>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</si>
  <si>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</si>
  <si>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</si>
  <si>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</si>
  <si>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</si>
  <si>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</si>
  <si>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</si>
  <si>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</si>
  <si>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</si>
  <si>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</si>
  <si>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</si>
  <si>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</si>
  <si>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</si>
  <si>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</si>
  <si>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</si>
  <si>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</si>
  <si>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</si>
  <si>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Hooldus (sh.kaubad, toore sisseost), vesi</t>
  </si>
  <si>
    <t>Hooldus (sh.kaubad, toore, sisseost), kanal.</t>
  </si>
  <si>
    <t>Sihtfinantseeringutevälise põhivara kulum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</si>
  <si>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</si>
  <si>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</si>
  <si>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</si>
  <si>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</si>
  <si>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</si>
  <si>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</si>
  <si>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</si>
  <si>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</si>
  <si>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</si>
  <si>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</si>
  <si>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</si>
  <si>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</si>
  <si>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</si>
  <si>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Elanike keskmine ühiktarbimine l/p/in</t>
  </si>
  <si>
    <t>SISSETULEKUD: INVESTEERINGULAENUDE VÕTMINE</t>
  </si>
  <si>
    <t>LAENUKATTEKORDAJA ARVESTUS</t>
  </si>
  <si>
    <t>Veeteenustesse arvestatavate kulu- ja põhjendatud tulususkomponentide summa</t>
  </si>
  <si>
    <t>TARIIFIDE TULU, PROGNOOSTULU KOKKU</t>
  </si>
  <si>
    <t>FINANTSKOHUSTUSTE KATMINE (INTRESSID)</t>
  </si>
  <si>
    <t>FINANTSKOHUSTUSTE KATMINE (PÕHIOSAMAKSED)</t>
  </si>
  <si>
    <t>VEEMAJANDUSE RAHAVOOGUDE PROGNOOS ALATES 2025.A</t>
  </si>
  <si>
    <t>RAHAVOOG PROGNOOSAASTATE LÕIKES</t>
  </si>
  <si>
    <t>Vesi</t>
  </si>
  <si>
    <t>Leibkonnaliikme keskmine sissetulek kuus (Viljandimaa)</t>
  </si>
  <si>
    <t>Üldkulud</t>
  </si>
  <si>
    <t>Reovesi</t>
  </si>
  <si>
    <t>KUMULATIIVNE RAHAVOOG</t>
  </si>
  <si>
    <t>Lisa 5. Veemajanduse tulude, kulude, teenusekulukuse ja rahavoo analüüs</t>
  </si>
  <si>
    <t>Põhjendatud tulukus varadelt (WACC väärtusel 5,61 %)</t>
  </si>
  <si>
    <t>PÕHJENDATUD MAKSIMAALSED TARIIFITULUD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</si>
</sst>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0" fillId="0" borderId="0" xfId="0" applyNumberFormat="1"/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5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3" fillId="2" borderId="1" xfId="0" applyFont="1" applyFill="1" applyBorder="1"/>
    <xf numFmtId="0" fontId="0" fillId="0" borderId="1" xfId="0" applyBorder="1"/>
    <xf numFmtId="0" fontId="8" fillId="2" borderId="2" xfId="0" applyFont="1" applyFill="1" applyBorder="1"/>
    <xf numFmtId="1" fontId="8" fillId="0" borderId="1" xfId="0" applyNumberFormat="1" applyFont="1" applyBorder="1" applyAlignment="1">
      <alignment horizontal="center"/>
    </xf>
    <xf numFmtId="3" fontId="0" fillId="2" borderId="0" xfId="0" applyNumberFormat="1" applyFill="1"/>
    <xf numFmtId="1" fontId="6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14" fillId="2" borderId="0" xfId="0" applyFont="1" applyFill="1"/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Q116"/>
  <sheetViews>
    <sheetView tabSelected="1" zoomScaleNormal="100" workbookViewId="0">
      <selection activeCell="D33" sqref="D33"/>
    </sheetView>
  </sheetViews>
  <sheetFormatPr defaultRowHeight="14.4" x14ac:dyDescent="0.3"/>
  <cols>
    <col min="1" max="1" width="66" customWidth="1"/>
    <col min="2" max="2" width="11.21875" customWidth="1"/>
    <col min="3" max="3" width="11" customWidth="1"/>
    <col min="4" max="4" width="11.5546875" customWidth="1"/>
    <col min="5" max="5" width="10.6640625" customWidth="1"/>
    <col min="6" max="6" width="11.88671875" customWidth="1"/>
    <col min="7" max="7" width="11.6640625" customWidth="1"/>
    <col min="8" max="8" width="11.21875" customWidth="1"/>
    <col min="9" max="9" width="12.21875" customWidth="1"/>
    <col min="10" max="10" width="12.5546875" customWidth="1"/>
    <col min="11" max="11" width="12.6640625" customWidth="1"/>
    <col min="12" max="12" width="12.33203125" customWidth="1"/>
    <col min="13" max="13" width="13" customWidth="1"/>
    <col min="14" max="14" width="12.6640625" customWidth="1"/>
    <col min="15" max="15" width="13" customWidth="1"/>
    <col min="16" max="16" width="11.21875" customWidth="1"/>
    <col min="17" max="17" width="10.21875" customWidth="1"/>
    <col min="18" max="18" width="11" customWidth="1"/>
  </cols>
  <sheetData>
    <row r="1" spans="1:17" x14ac:dyDescent="0.3">
      <c r="A1" s="45" t="s">
        <v>58</v>
      </c>
    </row>
    <row r="3" spans="1:17" x14ac:dyDescent="0.3">
      <c r="A3" s="35"/>
      <c r="B3" s="26">
        <v>2025</v>
      </c>
      <c r="C3" s="26">
        <f t="shared" ref="C3:N3" si="0">B3+1</f>
        <v>2026</v>
      </c>
      <c r="D3" s="26">
        <f t="shared" si="0"/>
        <v>2027</v>
      </c>
      <c r="E3" s="26">
        <f t="shared" si="0"/>
        <v>2028</v>
      </c>
      <c r="F3" s="26">
        <f t="shared" si="0"/>
        <v>2029</v>
      </c>
      <c r="G3" s="26">
        <f t="shared" si="0"/>
        <v>2030</v>
      </c>
      <c r="H3" s="26">
        <f t="shared" si="0"/>
        <v>2031</v>
      </c>
      <c r="I3" s="26">
        <f t="shared" si="0"/>
        <v>2032</v>
      </c>
      <c r="J3" s="26">
        <f t="shared" si="0"/>
        <v>2033</v>
      </c>
      <c r="K3" s="26">
        <f t="shared" si="0"/>
        <v>2034</v>
      </c>
      <c r="L3" s="26">
        <f t="shared" si="0"/>
        <v>2035</v>
      </c>
      <c r="M3" s="26">
        <f t="shared" si="0"/>
        <v>2036</v>
      </c>
      <c r="N3" s="26">
        <f t="shared" si="0"/>
        <v>2037</v>
      </c>
    </row>
    <row r="4" spans="1:17" ht="13.8" customHeight="1" x14ac:dyDescent="0.3">
      <c r="A4" s="18" t="s">
        <v>0</v>
      </c>
      <c r="B4" s="30">
        <v>5.1999999999999998E-2</v>
      </c>
      <c r="C4" s="20">
        <v>3.3000000000000002E-2</v>
      </c>
      <c r="D4" s="20">
        <v>2.4E-2</v>
      </c>
      <c r="E4" s="20">
        <v>2.1999999999999999E-2</v>
      </c>
      <c r="F4" s="20">
        <v>0.02</v>
      </c>
      <c r="G4" s="20">
        <v>0.02</v>
      </c>
      <c r="H4" s="20">
        <v>0.02</v>
      </c>
      <c r="I4" s="20">
        <v>0.02</v>
      </c>
      <c r="J4" s="20">
        <v>0.02</v>
      </c>
      <c r="K4" s="20">
        <v>0.02</v>
      </c>
      <c r="L4" s="20">
        <v>0.02</v>
      </c>
      <c r="M4" s="20">
        <v>0.02</v>
      </c>
      <c r="N4" s="20">
        <v>0.02</v>
      </c>
    </row>
    <row r="5" spans="1:17" ht="13.2" hidden="1" customHeight="1" x14ac:dyDescent="0.3">
      <c r="A5" s="18" t="s">
        <v>2</v>
      </c>
      <c r="B5" s="19">
        <f t="shared" ref="B5:N5" si="1">B4</f>
        <v>5.1999999999999998E-2</v>
      </c>
      <c r="C5" s="19">
        <f t="shared" si="1"/>
        <v>3.3000000000000002E-2</v>
      </c>
      <c r="D5" s="19">
        <f t="shared" si="1"/>
        <v>2.4E-2</v>
      </c>
      <c r="E5" s="19">
        <f t="shared" si="1"/>
        <v>2.1999999999999999E-2</v>
      </c>
      <c r="F5" s="19">
        <f t="shared" si="1"/>
        <v>0.02</v>
      </c>
      <c r="G5" s="19">
        <f t="shared" si="1"/>
        <v>0.02</v>
      </c>
      <c r="H5" s="19">
        <f t="shared" si="1"/>
        <v>0.02</v>
      </c>
      <c r="I5" s="19">
        <f t="shared" si="1"/>
        <v>0.02</v>
      </c>
      <c r="J5" s="19">
        <f t="shared" si="1"/>
        <v>0.02</v>
      </c>
      <c r="K5" s="19">
        <f t="shared" si="1"/>
        <v>0.02</v>
      </c>
      <c r="L5" s="19">
        <f t="shared" si="1"/>
        <v>0.02</v>
      </c>
      <c r="M5" s="19">
        <f t="shared" si="1"/>
        <v>0.02</v>
      </c>
      <c r="N5" s="19">
        <f t="shared" si="1"/>
        <v>0.02</v>
      </c>
    </row>
    <row r="6" spans="1:17" ht="6.6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ht="3.6" customHeight="1" x14ac:dyDescent="0.3">
      <c r="A7" s="3"/>
      <c r="B7" s="5"/>
      <c r="C7" s="5"/>
      <c r="D7" s="5"/>
      <c r="E7" s="5"/>
      <c r="F7" s="5"/>
      <c r="G7" s="5"/>
      <c r="H7" s="5"/>
      <c r="I7" s="5"/>
      <c r="J7" s="5"/>
      <c r="K7" s="4"/>
      <c r="L7" s="7"/>
      <c r="M7" s="7"/>
      <c r="N7" s="7"/>
    </row>
    <row r="8" spans="1:17" x14ac:dyDescent="0.3">
      <c r="A8" s="25" t="s">
        <v>13</v>
      </c>
      <c r="B8" s="24">
        <f>B16/B13</f>
        <v>0.15305235970885184</v>
      </c>
      <c r="C8" s="24">
        <f t="shared" ref="C8:N8" si="2">B8*(1+C4)</f>
        <v>0.15810308757924393</v>
      </c>
      <c r="D8" s="24">
        <f t="shared" si="2"/>
        <v>0.1618975616811458</v>
      </c>
      <c r="E8" s="24">
        <f t="shared" si="2"/>
        <v>0.16545930803813103</v>
      </c>
      <c r="F8" s="24">
        <f t="shared" si="2"/>
        <v>0.16876849419889364</v>
      </c>
      <c r="G8" s="24">
        <f t="shared" si="2"/>
        <v>0.17214386408287152</v>
      </c>
      <c r="H8" s="24">
        <f t="shared" si="2"/>
        <v>0.17558674136452895</v>
      </c>
      <c r="I8" s="24">
        <f t="shared" si="2"/>
        <v>0.17909847619181954</v>
      </c>
      <c r="J8" s="24">
        <f t="shared" si="2"/>
        <v>0.18268044571565592</v>
      </c>
      <c r="K8" s="24">
        <f t="shared" si="2"/>
        <v>0.18633405462996905</v>
      </c>
      <c r="L8" s="24">
        <f t="shared" si="2"/>
        <v>0.19006073572256843</v>
      </c>
      <c r="M8" s="24">
        <f t="shared" si="2"/>
        <v>0.19386195043701981</v>
      </c>
      <c r="N8" s="24">
        <f t="shared" si="2"/>
        <v>0.19773918944576022</v>
      </c>
    </row>
    <row r="9" spans="1:17" x14ac:dyDescent="0.3">
      <c r="A9" s="25" t="s">
        <v>12</v>
      </c>
      <c r="B9" s="24">
        <f>B17/B14</f>
        <v>0.26504079199431996</v>
      </c>
      <c r="C9" s="24">
        <f t="shared" ref="C9:N9" si="3">B9*(1+C4)</f>
        <v>0.2737871381301325</v>
      </c>
      <c r="D9" s="24">
        <f t="shared" si="3"/>
        <v>0.28035802944525567</v>
      </c>
      <c r="E9" s="24">
        <f t="shared" si="3"/>
        <v>0.28652590609305129</v>
      </c>
      <c r="F9" s="24">
        <f t="shared" si="3"/>
        <v>0.29225642421491232</v>
      </c>
      <c r="G9" s="24">
        <f t="shared" si="3"/>
        <v>0.29810155269921057</v>
      </c>
      <c r="H9" s="24">
        <f t="shared" si="3"/>
        <v>0.30406358375319481</v>
      </c>
      <c r="I9" s="24">
        <f t="shared" si="3"/>
        <v>0.3101448554282587</v>
      </c>
      <c r="J9" s="24">
        <f t="shared" si="3"/>
        <v>0.3163477525368239</v>
      </c>
      <c r="K9" s="24">
        <f t="shared" si="3"/>
        <v>0.32267470758756039</v>
      </c>
      <c r="L9" s="24">
        <f t="shared" si="3"/>
        <v>0.32912820173931162</v>
      </c>
      <c r="M9" s="24">
        <f t="shared" si="3"/>
        <v>0.33571076577409786</v>
      </c>
      <c r="N9" s="24">
        <f t="shared" si="3"/>
        <v>0.34242498108957981</v>
      </c>
    </row>
    <row r="10" spans="1:17" x14ac:dyDescent="0.3">
      <c r="A10" s="1" t="s">
        <v>1</v>
      </c>
      <c r="B10" s="24">
        <f>B18/B13</f>
        <v>8.4679502230570552E-2</v>
      </c>
      <c r="C10" s="24">
        <f t="shared" ref="C10" si="4">B10*(1+C4)</f>
        <v>8.747392580417937E-2</v>
      </c>
      <c r="D10" s="2">
        <f t="shared" ref="D10" si="5">C10*(1+D4)</f>
        <v>8.9573300023479671E-2</v>
      </c>
      <c r="E10" s="2">
        <f t="shared" ref="E10" si="6">D10*(1+E4)</f>
        <v>9.1543912623996221E-2</v>
      </c>
      <c r="F10" s="2">
        <f t="shared" ref="F10" si="7">E10*(1+F4)</f>
        <v>9.3374790876476141E-2</v>
      </c>
      <c r="G10" s="2">
        <f t="shared" ref="G10" si="8">F10*(1+G4)</f>
        <v>9.5242286694005668E-2</v>
      </c>
      <c r="H10" s="2">
        <f t="shared" ref="H10:N10" si="9">G10*(1+H4)</f>
        <v>9.714713242788578E-2</v>
      </c>
      <c r="I10" s="2">
        <f t="shared" si="9"/>
        <v>9.909007507644349E-2</v>
      </c>
      <c r="J10" s="2">
        <f t="shared" si="9"/>
        <v>0.10107187657797236</v>
      </c>
      <c r="K10" s="2">
        <f t="shared" si="9"/>
        <v>0.10309331410953181</v>
      </c>
      <c r="L10" s="2">
        <f t="shared" si="9"/>
        <v>0.10515518039172245</v>
      </c>
      <c r="M10" s="2">
        <f t="shared" si="9"/>
        <v>0.10725828399955689</v>
      </c>
      <c r="N10" s="2">
        <f t="shared" si="9"/>
        <v>0.10940344967954803</v>
      </c>
    </row>
    <row r="11" spans="1:17" x14ac:dyDescent="0.3">
      <c r="A11" s="1" t="s">
        <v>7</v>
      </c>
      <c r="B11" s="24">
        <f>B19/B14</f>
        <v>0.11761356785939153</v>
      </c>
      <c r="C11" s="24">
        <f t="shared" ref="C11:D11" si="10">B11*1.106</f>
        <v>0.13008060605248706</v>
      </c>
      <c r="D11" s="2">
        <f t="shared" si="10"/>
        <v>0.1438691502940507</v>
      </c>
      <c r="E11" s="2">
        <f>D11*1.106</f>
        <v>0.15911928022522009</v>
      </c>
      <c r="F11" s="2">
        <f t="shared" ref="F11:N11" si="11">E11*(1+F4)</f>
        <v>0.1623016658297245</v>
      </c>
      <c r="G11" s="2">
        <f t="shared" si="11"/>
        <v>0.16554769914631898</v>
      </c>
      <c r="H11" s="2">
        <f t="shared" si="11"/>
        <v>0.16885865312924536</v>
      </c>
      <c r="I11" s="2">
        <f t="shared" si="11"/>
        <v>0.17223582619183028</v>
      </c>
      <c r="J11" s="2">
        <f t="shared" si="11"/>
        <v>0.17568054271566688</v>
      </c>
      <c r="K11" s="2">
        <f t="shared" si="11"/>
        <v>0.17919415356998022</v>
      </c>
      <c r="L11" s="2">
        <f t="shared" si="11"/>
        <v>0.18277803664137984</v>
      </c>
      <c r="M11" s="2">
        <f t="shared" si="11"/>
        <v>0.18643359737420745</v>
      </c>
      <c r="N11" s="2">
        <f t="shared" si="11"/>
        <v>0.19016226932169161</v>
      </c>
    </row>
    <row r="12" spans="1:17" x14ac:dyDescent="0.3">
      <c r="A12" s="36" t="s">
        <v>3</v>
      </c>
      <c r="B12" s="12"/>
      <c r="C12" s="12"/>
      <c r="D12" s="4"/>
      <c r="E12" s="4"/>
      <c r="F12" s="4"/>
      <c r="G12" s="4"/>
      <c r="H12" s="4"/>
      <c r="I12" s="4"/>
      <c r="J12" s="4"/>
      <c r="K12" s="4"/>
      <c r="L12" s="7"/>
      <c r="M12" s="7"/>
      <c r="N12" s="7"/>
      <c r="Q12" s="22"/>
    </row>
    <row r="13" spans="1:17" x14ac:dyDescent="0.3">
      <c r="A13" s="25" t="s">
        <v>38</v>
      </c>
      <c r="B13" s="32">
        <v>170360</v>
      </c>
      <c r="C13" s="8">
        <v>169066.21615852125</v>
      </c>
      <c r="D13" s="8">
        <v>167780.52227691852</v>
      </c>
      <c r="E13" s="8">
        <v>166500.20371520318</v>
      </c>
      <c r="F13" s="8">
        <v>165986.05684302494</v>
      </c>
      <c r="G13" s="8">
        <v>165502.02799200363</v>
      </c>
      <c r="H13" s="8">
        <v>165027.02841551349</v>
      </c>
      <c r="I13" s="8">
        <v>164584.99474577882</v>
      </c>
      <c r="J13" s="8">
        <v>164154.71236341636</v>
      </c>
      <c r="K13" s="8">
        <v>163733.54427770388</v>
      </c>
      <c r="L13" s="8">
        <v>163332.25346183061</v>
      </c>
      <c r="M13" s="8">
        <v>162937.44706828284</v>
      </c>
      <c r="N13" s="8">
        <v>162543.7440863887</v>
      </c>
      <c r="O13" s="22"/>
      <c r="P13" s="22"/>
      <c r="Q13" s="22"/>
    </row>
    <row r="14" spans="1:17" x14ac:dyDescent="0.3">
      <c r="A14" s="25" t="s">
        <v>26</v>
      </c>
      <c r="B14" s="32">
        <v>149294</v>
      </c>
      <c r="C14" s="8">
        <v>148630.05089001099</v>
      </c>
      <c r="D14" s="8">
        <v>147962.0434268612</v>
      </c>
      <c r="E14" s="8">
        <v>147291.70027328085</v>
      </c>
      <c r="F14" s="8">
        <v>147244.63627174334</v>
      </c>
      <c r="G14" s="8">
        <v>147221.86318010202</v>
      </c>
      <c r="H14" s="8">
        <v>147204.78357357718</v>
      </c>
      <c r="I14" s="8">
        <v>147214.88387989282</v>
      </c>
      <c r="J14" s="8">
        <v>147233.37628194288</v>
      </c>
      <c r="K14" s="8">
        <v>147257.97629224401</v>
      </c>
      <c r="L14" s="8">
        <v>147298.45794538764</v>
      </c>
      <c r="M14" s="8">
        <v>147342.85969930948</v>
      </c>
      <c r="N14" s="8">
        <v>147386.35197043538</v>
      </c>
    </row>
    <row r="15" spans="1:17" x14ac:dyDescent="0.3">
      <c r="A15" s="3" t="s">
        <v>4</v>
      </c>
      <c r="B15" s="12"/>
      <c r="C15" s="12"/>
      <c r="D15" s="4"/>
      <c r="E15" s="4"/>
      <c r="F15" s="4"/>
      <c r="G15" s="4"/>
      <c r="H15" s="4"/>
      <c r="I15" s="4"/>
      <c r="J15" s="4"/>
      <c r="K15" s="4"/>
      <c r="L15" s="7"/>
      <c r="M15" s="7"/>
      <c r="N15" s="7"/>
    </row>
    <row r="16" spans="1:17" x14ac:dyDescent="0.3">
      <c r="A16" s="25" t="s">
        <v>13</v>
      </c>
      <c r="B16" s="32">
        <v>26074</v>
      </c>
      <c r="C16" s="8">
        <f t="shared" ref="C16" si="12">C8*C13</f>
        <v>26729.890780002072</v>
      </c>
      <c r="D16" s="8">
        <f t="shared" ref="D16:M16" si="13">D8*D13</f>
        <v>27163.257454222272</v>
      </c>
      <c r="E16" s="8">
        <f t="shared" si="13"/>
        <v>27549.008494925372</v>
      </c>
      <c r="F16" s="8">
        <f t="shared" si="13"/>
        <v>28013.216871409284</v>
      </c>
      <c r="G16" s="8">
        <f t="shared" si="13"/>
        <v>28490.158612095071</v>
      </c>
      <c r="H16" s="8">
        <f t="shared" si="13"/>
        <v>28976.558156551539</v>
      </c>
      <c r="I16" s="8">
        <f t="shared" si="13"/>
        <v>29476.921763007613</v>
      </c>
      <c r="J16" s="8">
        <f t="shared" si="13"/>
        <v>29987.856020874195</v>
      </c>
      <c r="K16" s="8">
        <f t="shared" si="13"/>
        <v>30509.135184200131</v>
      </c>
      <c r="L16" s="8">
        <f t="shared" si="13"/>
        <v>31043.048260180549</v>
      </c>
      <c r="M16" s="8">
        <f t="shared" si="13"/>
        <v>31587.371287885988</v>
      </c>
      <c r="N16" s="8">
        <f t="shared" ref="N16" si="14">N8*N13</f>
        <v>32141.268205121582</v>
      </c>
    </row>
    <row r="17" spans="1:17" x14ac:dyDescent="0.3">
      <c r="A17" s="25" t="s">
        <v>12</v>
      </c>
      <c r="B17" s="32">
        <v>39569</v>
      </c>
      <c r="C17" s="8">
        <f t="shared" ref="C17" si="15">C9*C14</f>
        <v>40692.996273312063</v>
      </c>
      <c r="D17" s="8">
        <f t="shared" ref="D17:M17" si="16">D9*D14</f>
        <v>41482.34692784815</v>
      </c>
      <c r="E17" s="8">
        <f t="shared" si="16"/>
        <v>42202.887880787923</v>
      </c>
      <c r="F17" s="8">
        <f t="shared" si="16"/>
        <v>43033.190881605085</v>
      </c>
      <c r="G17" s="8">
        <f t="shared" si="16"/>
        <v>43887.066005259148</v>
      </c>
      <c r="H17" s="8">
        <f t="shared" si="16"/>
        <v>44759.6140389953</v>
      </c>
      <c r="I17" s="8">
        <f t="shared" si="16"/>
        <v>45657.938877817251</v>
      </c>
      <c r="J17" s="8">
        <f t="shared" si="16"/>
        <v>46576.947685201143</v>
      </c>
      <c r="K17" s="8">
        <f t="shared" si="16"/>
        <v>47516.424440035735</v>
      </c>
      <c r="L17" s="8">
        <f t="shared" si="16"/>
        <v>48480.076582539048</v>
      </c>
      <c r="M17" s="8">
        <f t="shared" si="16"/>
        <v>49464.584261000651</v>
      </c>
      <c r="N17" s="8">
        <f t="shared" ref="N17" si="17">N9*N14</f>
        <v>50468.768786338485</v>
      </c>
      <c r="Q17" s="14"/>
    </row>
    <row r="18" spans="1:17" x14ac:dyDescent="0.3">
      <c r="A18" s="1" t="s">
        <v>1</v>
      </c>
      <c r="B18" s="32">
        <v>14426</v>
      </c>
      <c r="C18" s="8">
        <f t="shared" ref="C18:M18" si="18">C13*C10</f>
        <v>14788.885648243839</v>
      </c>
      <c r="D18" s="39">
        <f t="shared" si="18"/>
        <v>15028.655060006537</v>
      </c>
      <c r="E18" s="39">
        <f t="shared" si="18"/>
        <v>15242.080100782132</v>
      </c>
      <c r="F18" s="39">
        <f t="shared" si="18"/>
        <v>15498.913346128335</v>
      </c>
      <c r="G18" s="39">
        <f t="shared" si="18"/>
        <v>15762.791598453761</v>
      </c>
      <c r="H18" s="39">
        <f t="shared" si="18"/>
        <v>16031.902583662359</v>
      </c>
      <c r="I18" s="39">
        <f t="shared" si="18"/>
        <v>16308.73948581528</v>
      </c>
      <c r="J18" s="39">
        <f t="shared" si="18"/>
        <v>16591.42482768777</v>
      </c>
      <c r="K18" s="39">
        <f t="shared" si="18"/>
        <v>16879.833710488259</v>
      </c>
      <c r="L18" s="39">
        <f t="shared" si="18"/>
        <v>17175.23257656533</v>
      </c>
      <c r="M18" s="39">
        <f t="shared" si="18"/>
        <v>17476.390971812649</v>
      </c>
      <c r="N18" s="39">
        <f t="shared" ref="N18" si="19">N13*N10</f>
        <v>17782.846326880557</v>
      </c>
    </row>
    <row r="19" spans="1:17" x14ac:dyDescent="0.3">
      <c r="A19" s="1" t="s">
        <v>7</v>
      </c>
      <c r="B19" s="32">
        <v>17559</v>
      </c>
      <c r="C19" s="8">
        <f t="shared" ref="C19:M19" si="20">C11*C14</f>
        <v>19333.887097384621</v>
      </c>
      <c r="D19" s="39">
        <f t="shared" si="20"/>
        <v>21287.17346359395</v>
      </c>
      <c r="E19" s="39">
        <f t="shared" si="20"/>
        <v>23436.949330633302</v>
      </c>
      <c r="F19" s="39">
        <f t="shared" si="20"/>
        <v>23898.049751395818</v>
      </c>
      <c r="G19" s="39">
        <f t="shared" si="20"/>
        <v>24372.240713500065</v>
      </c>
      <c r="H19" s="39">
        <f t="shared" si="20"/>
        <v>24856.801488416306</v>
      </c>
      <c r="I19" s="39">
        <f t="shared" si="20"/>
        <v>25355.677152787699</v>
      </c>
      <c r="J19" s="39">
        <f t="shared" si="20"/>
        <v>25866.039451071723</v>
      </c>
      <c r="K19" s="39">
        <f t="shared" si="20"/>
        <v>26387.768418116881</v>
      </c>
      <c r="L19" s="39">
        <f t="shared" si="20"/>
        <v>26922.92294356081</v>
      </c>
      <c r="M19" s="39">
        <f t="shared" si="20"/>
        <v>27469.6593811454</v>
      </c>
      <c r="N19" s="39">
        <f t="shared" ref="N19" si="21">N11*N14</f>
        <v>28027.323157743565</v>
      </c>
    </row>
    <row r="20" spans="1:17" x14ac:dyDescent="0.3">
      <c r="A20" s="3" t="s">
        <v>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</row>
    <row r="21" spans="1:17" x14ac:dyDescent="0.3">
      <c r="A21" s="1" t="s">
        <v>6</v>
      </c>
      <c r="B21" s="32">
        <v>100299</v>
      </c>
      <c r="C21" s="39">
        <f t="shared" ref="C21:L21" si="22">B21*(1+C5)</f>
        <v>103608.867</v>
      </c>
      <c r="D21" s="39">
        <f t="shared" si="22"/>
        <v>106095.479808</v>
      </c>
      <c r="E21" s="39">
        <f t="shared" si="22"/>
        <v>108429.58036377601</v>
      </c>
      <c r="F21" s="39">
        <f t="shared" si="22"/>
        <v>110598.17197105153</v>
      </c>
      <c r="G21" s="39">
        <f t="shared" si="22"/>
        <v>112810.13541047256</v>
      </c>
      <c r="H21" s="39">
        <f t="shared" si="22"/>
        <v>115066.33811868202</v>
      </c>
      <c r="I21" s="39">
        <f t="shared" si="22"/>
        <v>117367.66488105567</v>
      </c>
      <c r="J21" s="39">
        <f t="shared" si="22"/>
        <v>119715.01817867678</v>
      </c>
      <c r="K21" s="39">
        <f t="shared" si="22"/>
        <v>122109.31854225032</v>
      </c>
      <c r="L21" s="39">
        <f t="shared" si="22"/>
        <v>124551.50491309533</v>
      </c>
      <c r="M21" s="39">
        <f>L21*(1+M5)</f>
        <v>127042.53501135723</v>
      </c>
      <c r="N21" s="39">
        <f>M21*(1+N5)</f>
        <v>129583.38571158439</v>
      </c>
    </row>
    <row r="22" spans="1:17" x14ac:dyDescent="0.3">
      <c r="A22" s="1" t="s">
        <v>28</v>
      </c>
      <c r="B22" s="32">
        <v>48443</v>
      </c>
      <c r="C22" s="39">
        <f t="shared" ref="C22:M22" si="23">B22*(1+C4)</f>
        <v>50041.618999999999</v>
      </c>
      <c r="D22" s="39">
        <f t="shared" si="23"/>
        <v>51242.617855999997</v>
      </c>
      <c r="E22" s="39">
        <f t="shared" si="23"/>
        <v>52369.955448831999</v>
      </c>
      <c r="F22" s="39">
        <f t="shared" si="23"/>
        <v>53417.354557808641</v>
      </c>
      <c r="G22" s="39">
        <f t="shared" si="23"/>
        <v>54485.701648964816</v>
      </c>
      <c r="H22" s="39">
        <f t="shared" si="23"/>
        <v>55575.415681944112</v>
      </c>
      <c r="I22" s="39">
        <f t="shared" si="23"/>
        <v>56686.923995582998</v>
      </c>
      <c r="J22" s="39">
        <f t="shared" si="23"/>
        <v>57820.662475494661</v>
      </c>
      <c r="K22" s="39">
        <f t="shared" si="23"/>
        <v>58977.075725004557</v>
      </c>
      <c r="L22" s="39">
        <f t="shared" si="23"/>
        <v>60156.617239504652</v>
      </c>
      <c r="M22" s="39">
        <f t="shared" si="23"/>
        <v>61359.749584294746</v>
      </c>
      <c r="N22" s="39">
        <f>M22*(1+N4)</f>
        <v>62586.94457598064</v>
      </c>
    </row>
    <row r="23" spans="1:17" x14ac:dyDescent="0.3">
      <c r="A23" s="1" t="s">
        <v>29</v>
      </c>
      <c r="B23" s="32">
        <v>39522</v>
      </c>
      <c r="C23" s="39">
        <f>B23*(1+C4)</f>
        <v>40826.225999999995</v>
      </c>
      <c r="D23" s="39">
        <f>C23*(1+D4)</f>
        <v>41806.055423999998</v>
      </c>
      <c r="E23" s="39">
        <f>D23*(1+E4)</f>
        <v>42725.788643328</v>
      </c>
      <c r="F23" s="39">
        <f>E23*(1+F4)</f>
        <v>43580.304416194558</v>
      </c>
      <c r="G23" s="39">
        <f>F23*(1+G5)</f>
        <v>44451.910504518448</v>
      </c>
      <c r="H23" s="39">
        <f t="shared" ref="H23:L23" si="24">G23*(1+H4)</f>
        <v>45340.948714608814</v>
      </c>
      <c r="I23" s="39">
        <f t="shared" si="24"/>
        <v>46247.767688900989</v>
      </c>
      <c r="J23" s="39">
        <f t="shared" si="24"/>
        <v>47172.723042679012</v>
      </c>
      <c r="K23" s="39">
        <f t="shared" si="24"/>
        <v>48116.177503532592</v>
      </c>
      <c r="L23" s="39">
        <f t="shared" si="24"/>
        <v>49078.501053603242</v>
      </c>
      <c r="M23" s="39">
        <f>L23*(1+M4)</f>
        <v>50060.07107467531</v>
      </c>
      <c r="N23" s="39">
        <f>M23*(1+N4)</f>
        <v>51061.272496168815</v>
      </c>
    </row>
    <row r="24" spans="1:17" x14ac:dyDescent="0.3">
      <c r="A24" s="1" t="s">
        <v>55</v>
      </c>
      <c r="B24" s="32">
        <v>85581</v>
      </c>
      <c r="C24" s="39">
        <f t="shared" ref="C24:N24" si="25">B24*(1+C4)</f>
        <v>88405.172999999995</v>
      </c>
      <c r="D24" s="39">
        <f t="shared" si="25"/>
        <v>90526.89715199999</v>
      </c>
      <c r="E24" s="39">
        <f t="shared" si="25"/>
        <v>92518.488889343993</v>
      </c>
      <c r="F24" s="39">
        <f t="shared" si="25"/>
        <v>94368.858667130873</v>
      </c>
      <c r="G24" s="39">
        <f t="shared" si="25"/>
        <v>96256.235840473499</v>
      </c>
      <c r="H24" s="39">
        <f t="shared" si="25"/>
        <v>98181.360557282969</v>
      </c>
      <c r="I24" s="39">
        <f t="shared" si="25"/>
        <v>100144.98776842863</v>
      </c>
      <c r="J24" s="39">
        <f t="shared" si="25"/>
        <v>102147.88752379721</v>
      </c>
      <c r="K24" s="39">
        <f t="shared" si="25"/>
        <v>104190.84527427316</v>
      </c>
      <c r="L24" s="39">
        <f t="shared" si="25"/>
        <v>106274.66217975863</v>
      </c>
      <c r="M24" s="39">
        <f t="shared" si="25"/>
        <v>108400.1554233538</v>
      </c>
      <c r="N24" s="39">
        <f t="shared" si="25"/>
        <v>110568.15853182088</v>
      </c>
    </row>
    <row r="25" spans="1:17" x14ac:dyDescent="0.3">
      <c r="A25" s="25" t="s">
        <v>14</v>
      </c>
      <c r="B25" s="32">
        <v>39506</v>
      </c>
      <c r="C25" s="8">
        <f t="shared" ref="C25:N25" si="26">B25*(1+C4)</f>
        <v>40809.697999999997</v>
      </c>
      <c r="D25" s="8">
        <f t="shared" si="26"/>
        <v>41789.130751999997</v>
      </c>
      <c r="E25" s="8">
        <f t="shared" si="26"/>
        <v>42708.491628543998</v>
      </c>
      <c r="F25" s="8">
        <f t="shared" si="26"/>
        <v>43562.661461114876</v>
      </c>
      <c r="G25" s="8">
        <f t="shared" si="26"/>
        <v>44433.914690337173</v>
      </c>
      <c r="H25" s="8">
        <f t="shared" si="26"/>
        <v>45322.592984143914</v>
      </c>
      <c r="I25" s="8">
        <f t="shared" si="26"/>
        <v>46229.044843826792</v>
      </c>
      <c r="J25" s="8">
        <f t="shared" si="26"/>
        <v>47153.625740703326</v>
      </c>
      <c r="K25" s="8">
        <f t="shared" si="26"/>
        <v>48096.698255517396</v>
      </c>
      <c r="L25" s="8">
        <f t="shared" si="26"/>
        <v>49058.632220627747</v>
      </c>
      <c r="M25" s="8">
        <f t="shared" si="26"/>
        <v>50039.8048650403</v>
      </c>
      <c r="N25" s="8">
        <f t="shared" si="26"/>
        <v>51040.600962341108</v>
      </c>
    </row>
    <row r="26" spans="1:17" ht="8.25" customHeight="1" x14ac:dyDescent="0.3">
      <c r="A26" s="6"/>
      <c r="B26" s="4"/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</row>
    <row r="27" spans="1:17" x14ac:dyDescent="0.3">
      <c r="A27" s="31" t="s">
        <v>39</v>
      </c>
      <c r="B27" s="32">
        <f t="shared" ref="B27:N27" si="27">SUM(B16:B19)+SUM(B21:B25)</f>
        <v>410979</v>
      </c>
      <c r="C27" s="32">
        <f t="shared" si="27"/>
        <v>425237.24279894261</v>
      </c>
      <c r="D27" s="32">
        <f t="shared" si="27"/>
        <v>436421.61389767093</v>
      </c>
      <c r="E27" s="32">
        <f t="shared" si="27"/>
        <v>447183.23078095273</v>
      </c>
      <c r="F27" s="32">
        <f t="shared" si="27"/>
        <v>455970.72192383895</v>
      </c>
      <c r="G27" s="32">
        <f t="shared" si="27"/>
        <v>464950.1550240746</v>
      </c>
      <c r="H27" s="32">
        <f t="shared" si="27"/>
        <v>474111.53232428734</v>
      </c>
      <c r="I27" s="32">
        <f t="shared" si="27"/>
        <v>483475.66645722295</v>
      </c>
      <c r="J27" s="32">
        <f t="shared" si="27"/>
        <v>493032.18494618585</v>
      </c>
      <c r="K27" s="32">
        <f t="shared" si="27"/>
        <v>502783.27705341903</v>
      </c>
      <c r="L27" s="32">
        <f t="shared" si="27"/>
        <v>512741.19796943536</v>
      </c>
      <c r="M27" s="32">
        <f t="shared" si="27"/>
        <v>522900.32186056609</v>
      </c>
      <c r="N27" s="32">
        <f t="shared" si="27"/>
        <v>533260.5687539801</v>
      </c>
      <c r="Q27" s="14"/>
    </row>
    <row r="28" spans="1:17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7" x14ac:dyDescent="0.3">
      <c r="A29" s="31" t="s">
        <v>30</v>
      </c>
      <c r="B29" s="8">
        <v>45566</v>
      </c>
      <c r="C29" s="8">
        <v>47930.243750000001</v>
      </c>
      <c r="D29" s="8">
        <v>55022.974999999999</v>
      </c>
      <c r="E29" s="8">
        <v>65026.487499199997</v>
      </c>
      <c r="F29" s="8">
        <v>75250.077273382398</v>
      </c>
      <c r="G29" s="8">
        <v>85678.138843048451</v>
      </c>
      <c r="H29" s="8">
        <v>96314.761644107813</v>
      </c>
      <c r="I29" s="8">
        <v>107164.11690118838</v>
      </c>
      <c r="J29" s="8">
        <v>118230.45926341055</v>
      </c>
      <c r="K29" s="8">
        <v>129518.12847287716</v>
      </c>
      <c r="L29" s="8">
        <v>141031.55106653311</v>
      </c>
      <c r="M29" s="8">
        <v>152775.24211206217</v>
      </c>
      <c r="N29" s="8">
        <v>164753.80697850182</v>
      </c>
    </row>
    <row r="30" spans="1:17" x14ac:dyDescent="0.3">
      <c r="A30" s="25" t="s">
        <v>31</v>
      </c>
      <c r="B30" s="8">
        <v>4095965</v>
      </c>
      <c r="C30" s="8">
        <v>4128616.0640624999</v>
      </c>
      <c r="D30" s="8">
        <v>4639401.3814524999</v>
      </c>
      <c r="E30" s="8">
        <v>4906127.6808150047</v>
      </c>
      <c r="F30" s="8">
        <v>5169754.4002135564</v>
      </c>
      <c r="G30" s="8">
        <v>5430837.3018016126</v>
      </c>
      <c r="H30" s="8">
        <v>5689607.3464139169</v>
      </c>
      <c r="I30" s="8">
        <v>5946271.6519611795</v>
      </c>
      <c r="J30" s="8">
        <v>6201033.8774608169</v>
      </c>
      <c r="K30" s="8">
        <v>6454094.3818966355</v>
      </c>
      <c r="L30" s="8">
        <v>6705650.3794145714</v>
      </c>
      <c r="M30" s="8">
        <v>6955896.090986467</v>
      </c>
      <c r="N30" s="8">
        <v>7205022.8926702915</v>
      </c>
    </row>
    <row r="31" spans="1:17" x14ac:dyDescent="0.3">
      <c r="A31" s="25" t="s">
        <v>40</v>
      </c>
      <c r="B31" s="8">
        <f>(462.23+467.725+468.367)*1000/3*0.05</f>
        <v>23305.366666666669</v>
      </c>
      <c r="C31" s="8">
        <f>(467.725+468.367+(B44+B46)/1000)*1000/3*0.05</f>
        <v>23190.710000536001</v>
      </c>
      <c r="D31" s="8">
        <f>(468.367+(B44+B46)/1000+(C44+C46)/1000)*1000/3*0.05</f>
        <v>22950.635408046681</v>
      </c>
      <c r="E31" s="8">
        <f>(B44+B46+C44+C46+D44+D46)/3*0.05</f>
        <v>27693.861206179325</v>
      </c>
      <c r="F31" s="8">
        <f t="shared" ref="E31:N31" si="28">(C44+C46+D44+D46+E44+E46)/3*0.05</f>
        <v>33253.673457260214</v>
      </c>
      <c r="G31" s="8">
        <f t="shared" si="28"/>
        <v>39415.181283022917</v>
      </c>
      <c r="H31" s="8">
        <f t="shared" si="28"/>
        <v>41156.503197082573</v>
      </c>
      <c r="I31" s="8">
        <f t="shared" si="28"/>
        <v>42872.830572955063</v>
      </c>
      <c r="J31" s="8">
        <f t="shared" si="28"/>
        <v>44592.504345440961</v>
      </c>
      <c r="K31" s="8">
        <f t="shared" si="28"/>
        <v>46324.752250770762</v>
      </c>
      <c r="L31" s="8">
        <f t="shared" si="28"/>
        <v>48073.687729863188</v>
      </c>
      <c r="M31" s="8">
        <f t="shared" si="28"/>
        <v>49846.273641331885</v>
      </c>
      <c r="N31" s="8">
        <f t="shared" si="28"/>
        <v>51634.746135606401</v>
      </c>
    </row>
    <row r="32" spans="1:17" x14ac:dyDescent="0.3">
      <c r="A32" s="31" t="s">
        <v>59</v>
      </c>
      <c r="B32" s="32">
        <f>0.0561*(B30+B31)</f>
        <v>231091.06756999998</v>
      </c>
      <c r="C32" s="32">
        <f t="shared" ref="C32:N32" si="29">0.0561*(C30+C31)</f>
        <v>232916.36002493629</v>
      </c>
      <c r="D32" s="32">
        <f>0.0561*(D30+D31)</f>
        <v>261557.94814587664</v>
      </c>
      <c r="E32" s="32">
        <f t="shared" si="29"/>
        <v>276787.38850738842</v>
      </c>
      <c r="F32" s="32">
        <f t="shared" si="29"/>
        <v>291888.75293293281</v>
      </c>
      <c r="G32" s="32">
        <f t="shared" si="29"/>
        <v>306881.16430104803</v>
      </c>
      <c r="H32" s="32">
        <f t="shared" si="29"/>
        <v>321495.85196317703</v>
      </c>
      <c r="I32" s="32">
        <f t="shared" si="29"/>
        <v>335991.00547016494</v>
      </c>
      <c r="J32" s="32">
        <f t="shared" si="29"/>
        <v>350379.64001933107</v>
      </c>
      <c r="K32" s="32">
        <f t="shared" si="29"/>
        <v>364673.51342566952</v>
      </c>
      <c r="L32" s="32">
        <f t="shared" si="29"/>
        <v>378883.92016680277</v>
      </c>
      <c r="M32" s="32">
        <f t="shared" si="29"/>
        <v>393022.14665561949</v>
      </c>
      <c r="N32" s="32">
        <f t="shared" si="29"/>
        <v>407098.49353701086</v>
      </c>
    </row>
    <row r="33" spans="1:14" x14ac:dyDescent="0.3">
      <c r="A33" s="1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3">
      <c r="A34" s="31" t="s">
        <v>47</v>
      </c>
      <c r="B34" s="32">
        <f>B27+B29+B32</f>
        <v>687636.06756999996</v>
      </c>
      <c r="C34" s="32">
        <f t="shared" ref="C34:N34" si="30">C27+C29+C32</f>
        <v>706083.84657387889</v>
      </c>
      <c r="D34" s="32">
        <f t="shared" si="30"/>
        <v>753002.53704354749</v>
      </c>
      <c r="E34" s="32">
        <f t="shared" si="30"/>
        <v>788997.10678754118</v>
      </c>
      <c r="F34" s="32">
        <f t="shared" si="30"/>
        <v>823109.55213015422</v>
      </c>
      <c r="G34" s="32">
        <f t="shared" si="30"/>
        <v>857509.45816817111</v>
      </c>
      <c r="H34" s="32">
        <f t="shared" si="30"/>
        <v>891922.14593157219</v>
      </c>
      <c r="I34" s="32">
        <f t="shared" si="30"/>
        <v>926630.78882857622</v>
      </c>
      <c r="J34" s="32">
        <f t="shared" si="30"/>
        <v>961642.28422892746</v>
      </c>
      <c r="K34" s="32">
        <f t="shared" si="30"/>
        <v>996974.91895196575</v>
      </c>
      <c r="L34" s="32">
        <f t="shared" si="30"/>
        <v>1032656.6692027713</v>
      </c>
      <c r="M34" s="32">
        <f t="shared" si="30"/>
        <v>1068697.7106282478</v>
      </c>
      <c r="N34" s="32">
        <f t="shared" si="30"/>
        <v>1105112.8692694928</v>
      </c>
    </row>
    <row r="35" spans="1:14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3">
      <c r="A36" s="10" t="s">
        <v>37</v>
      </c>
      <c r="B36" s="16">
        <v>2025</v>
      </c>
      <c r="C36" s="16">
        <f t="shared" ref="C36:N36" si="31">B36+1</f>
        <v>2026</v>
      </c>
      <c r="D36" s="16">
        <f t="shared" si="31"/>
        <v>2027</v>
      </c>
      <c r="E36" s="16">
        <f t="shared" si="31"/>
        <v>2028</v>
      </c>
      <c r="F36" s="16">
        <f t="shared" si="31"/>
        <v>2029</v>
      </c>
      <c r="G36" s="16">
        <f t="shared" si="31"/>
        <v>2030</v>
      </c>
      <c r="H36" s="16">
        <f t="shared" si="31"/>
        <v>2031</v>
      </c>
      <c r="I36" s="16">
        <f t="shared" si="31"/>
        <v>2032</v>
      </c>
      <c r="J36" s="16">
        <f t="shared" si="31"/>
        <v>2033</v>
      </c>
      <c r="K36" s="16">
        <f t="shared" si="31"/>
        <v>2034</v>
      </c>
      <c r="L36" s="16">
        <f t="shared" si="31"/>
        <v>2035</v>
      </c>
      <c r="M36" s="16">
        <f t="shared" si="31"/>
        <v>2036</v>
      </c>
      <c r="N36" s="16">
        <f t="shared" si="31"/>
        <v>2037</v>
      </c>
    </row>
    <row r="37" spans="1:14" x14ac:dyDescent="0.3">
      <c r="A37" s="31" t="s">
        <v>8</v>
      </c>
      <c r="B37" s="32">
        <v>135371.6</v>
      </c>
      <c r="C37" s="8">
        <v>134766.59494760068</v>
      </c>
      <c r="D37" s="8">
        <v>134161.1898952013</v>
      </c>
      <c r="E37" s="8">
        <v>133553.66804191947</v>
      </c>
      <c r="F37" s="8">
        <v>133556.22407485178</v>
      </c>
      <c r="G37" s="8">
        <v>133580.51832556049</v>
      </c>
      <c r="H37" s="8">
        <v>133609.70274171105</v>
      </c>
      <c r="I37" s="8">
        <v>133663.28453604813</v>
      </c>
      <c r="J37" s="8">
        <v>133724.22903278371</v>
      </c>
      <c r="K37" s="8">
        <v>133790.469620405</v>
      </c>
      <c r="L37" s="8">
        <v>133870.89623813613</v>
      </c>
      <c r="M37" s="8">
        <v>133954.64739550237</v>
      </c>
      <c r="N37" s="8">
        <v>134037.33441969551</v>
      </c>
    </row>
    <row r="38" spans="1:14" x14ac:dyDescent="0.3">
      <c r="A38" s="31" t="s">
        <v>9</v>
      </c>
      <c r="B38" s="32">
        <v>128055.34000000001</v>
      </c>
      <c r="C38" s="8">
        <v>127485.50622744623</v>
      </c>
      <c r="D38" s="8">
        <v>126912.53145489244</v>
      </c>
      <c r="E38" s="8">
        <v>126337.55327404302</v>
      </c>
      <c r="F38" s="8">
        <v>126297.18473467181</v>
      </c>
      <c r="G38" s="8">
        <v>126277.65140948709</v>
      </c>
      <c r="H38" s="8">
        <v>126263.00159761563</v>
      </c>
      <c r="I38" s="8">
        <v>126271.66500488752</v>
      </c>
      <c r="J38" s="8">
        <v>126287.526623871</v>
      </c>
      <c r="K38" s="8">
        <v>126308.62696493702</v>
      </c>
      <c r="L38" s="8">
        <v>126343.34958000063</v>
      </c>
      <c r="M38" s="8">
        <v>126381.43461086899</v>
      </c>
      <c r="N38" s="8">
        <v>126418.73954461736</v>
      </c>
    </row>
    <row r="39" spans="1:14" x14ac:dyDescent="0.3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3">
      <c r="A40" s="10" t="s">
        <v>43</v>
      </c>
      <c r="B40" s="16">
        <v>2025</v>
      </c>
      <c r="C40" s="16">
        <f t="shared" ref="C40:N40" si="32">B40+1</f>
        <v>2026</v>
      </c>
      <c r="D40" s="16">
        <f t="shared" si="32"/>
        <v>2027</v>
      </c>
      <c r="E40" s="16">
        <f t="shared" si="32"/>
        <v>2028</v>
      </c>
      <c r="F40" s="16">
        <f t="shared" si="32"/>
        <v>2029</v>
      </c>
      <c r="G40" s="16">
        <f t="shared" si="32"/>
        <v>2030</v>
      </c>
      <c r="H40" s="16">
        <f t="shared" si="32"/>
        <v>2031</v>
      </c>
      <c r="I40" s="16">
        <f t="shared" si="32"/>
        <v>2032</v>
      </c>
      <c r="J40" s="16">
        <f t="shared" si="32"/>
        <v>2033</v>
      </c>
      <c r="K40" s="16">
        <f t="shared" si="32"/>
        <v>2034</v>
      </c>
      <c r="L40" s="16">
        <f t="shared" si="32"/>
        <v>2035</v>
      </c>
      <c r="M40" s="16">
        <f t="shared" si="32"/>
        <v>2036</v>
      </c>
      <c r="N40" s="16">
        <f t="shared" si="32"/>
        <v>2037</v>
      </c>
    </row>
    <row r="41" spans="1:14" x14ac:dyDescent="0.3">
      <c r="A41" s="25" t="s">
        <v>53</v>
      </c>
      <c r="B41" s="40">
        <v>1.4571149999999999</v>
      </c>
      <c r="C41" s="40">
        <f>B41</f>
        <v>1.4571149999999999</v>
      </c>
      <c r="D41" s="24">
        <f>C41*1.6686</f>
        <v>2.4313420890000002</v>
      </c>
      <c r="E41" s="24">
        <f>D41*1.052494</f>
        <v>2.558972960619966</v>
      </c>
      <c r="F41" s="24">
        <f>E41*1.043537</f>
        <v>2.6703829664064775</v>
      </c>
      <c r="G41" s="24">
        <f>F41*1.041842</f>
        <v>2.7821171304868573</v>
      </c>
      <c r="H41" s="24">
        <f>G41*1.0401784</f>
        <v>2.8938981454024106</v>
      </c>
      <c r="I41" s="24">
        <f>H41*1.038941</f>
        <v>3.0065894330825258</v>
      </c>
      <c r="J41" s="24">
        <f>I41*1.037708</f>
        <v>3.1199619074252021</v>
      </c>
      <c r="K41" s="24">
        <f>J41*1.036585</f>
        <v>3.2341057138083533</v>
      </c>
      <c r="L41" s="24">
        <f>K41*1.035486</f>
        <v>3.3488711891685563</v>
      </c>
      <c r="M41" s="24">
        <f>L41*1.03454</f>
        <v>3.4645412000424383</v>
      </c>
      <c r="N41" s="24">
        <f>M41*1.0336933</f>
        <v>3.5812730260578278</v>
      </c>
    </row>
    <row r="42" spans="1:14" x14ac:dyDescent="0.3">
      <c r="A42" s="1" t="s">
        <v>56</v>
      </c>
      <c r="B42" s="40">
        <v>2.0155240000000001</v>
      </c>
      <c r="C42" s="40">
        <f>B42</f>
        <v>2.0155240000000001</v>
      </c>
      <c r="D42" s="24">
        <f>C42*1.6684</f>
        <v>3.3627002416000003</v>
      </c>
      <c r="E42" s="24">
        <f>D42*1.052594</f>
        <v>3.5395580981067107</v>
      </c>
      <c r="F42" s="24">
        <f>E42*1.043237</f>
        <v>3.6925979715945503</v>
      </c>
      <c r="G42" s="24">
        <f>F42*1.041842</f>
        <v>3.8471036559220093</v>
      </c>
      <c r="H42" s="24">
        <f>G42*1.040184</f>
        <v>4.0016956692315793</v>
      </c>
      <c r="I42" s="24">
        <f>H42*1.037641</f>
        <v>4.1523234959171251</v>
      </c>
      <c r="J42" s="24">
        <f>I42*1.037708</f>
        <v>4.3088993103011681</v>
      </c>
      <c r="K42" s="24">
        <f>J42*1.036585</f>
        <v>4.4665403915685369</v>
      </c>
      <c r="L42" s="24">
        <f>K42*1.035286</f>
        <v>4.6241467358254242</v>
      </c>
      <c r="M42" s="24">
        <f>L42*1.03454</f>
        <v>4.7838647640808345</v>
      </c>
      <c r="N42" s="24">
        <f>M42*1.0334933</f>
        <v>4.9440921817836232</v>
      </c>
    </row>
    <row r="43" spans="1:14" x14ac:dyDescent="0.3">
      <c r="A43" s="11"/>
      <c r="B43" s="27"/>
      <c r="C43" s="2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3">
      <c r="A44" s="34" t="s">
        <v>48</v>
      </c>
      <c r="B44" s="41">
        <f>B37*B41+B38*B42</f>
        <v>455350.60003216006</v>
      </c>
      <c r="C44" s="41">
        <f t="shared" ref="C44:N44" si="33">C37*C41+C38*C42</f>
        <v>453320.52445064054</v>
      </c>
      <c r="D44" s="41">
        <f t="shared" si="33"/>
        <v>752960.54788795882</v>
      </c>
      <c r="E44" s="41">
        <f>E37*E41+E38*E42</f>
        <v>788939.33509701374</v>
      </c>
      <c r="F44" s="41">
        <f>F37*F41+F38*F42</f>
        <v>823010.99399640225</v>
      </c>
      <c r="G44" s="41">
        <f t="shared" si="33"/>
        <v>857439.86273153825</v>
      </c>
      <c r="H44" s="41">
        <f t="shared" si="33"/>
        <v>891918.97764936346</v>
      </c>
      <c r="I44" s="41">
        <f t="shared" si="33"/>
        <v>926191.42034555587</v>
      </c>
      <c r="J44" s="41">
        <f t="shared" si="33"/>
        <v>961374.73705132655</v>
      </c>
      <c r="K44" s="41">
        <f t="shared" si="33"/>
        <v>996855.10639490886</v>
      </c>
      <c r="L44" s="41">
        <f t="shared" si="33"/>
        <v>1032546.5750336777</v>
      </c>
      <c r="M44" s="41">
        <f t="shared" si="33"/>
        <v>1068683.0867077976</v>
      </c>
      <c r="N44" s="41">
        <f t="shared" si="33"/>
        <v>1105050.1920554307</v>
      </c>
    </row>
    <row r="45" spans="1:14" x14ac:dyDescent="0.3">
      <c r="A45" s="34" t="s">
        <v>60</v>
      </c>
      <c r="B45" s="42">
        <f>B47-B46</f>
        <v>687636.06756999996</v>
      </c>
      <c r="C45" s="42">
        <f t="shared" ref="C45:N45" si="34">C47-C46</f>
        <v>706083.84657387889</v>
      </c>
      <c r="D45" s="42">
        <f t="shared" si="34"/>
        <v>753002.53704354749</v>
      </c>
      <c r="E45" s="42">
        <f>E47-E46</f>
        <v>788997.10678754118</v>
      </c>
      <c r="F45" s="42">
        <f>F47-F46</f>
        <v>823109.55213015422</v>
      </c>
      <c r="G45" s="42">
        <f t="shared" si="34"/>
        <v>857509.45816817111</v>
      </c>
      <c r="H45" s="42">
        <f t="shared" si="34"/>
        <v>891922.14593157219</v>
      </c>
      <c r="I45" s="42">
        <f t="shared" si="34"/>
        <v>926630.78882857622</v>
      </c>
      <c r="J45" s="42">
        <f t="shared" si="34"/>
        <v>961642.28422892746</v>
      </c>
      <c r="K45" s="42">
        <f t="shared" si="34"/>
        <v>996974.91895196575</v>
      </c>
      <c r="L45" s="42">
        <f t="shared" si="34"/>
        <v>1032656.6692027713</v>
      </c>
      <c r="M45" s="42">
        <f t="shared" si="34"/>
        <v>1068697.7106282478</v>
      </c>
      <c r="N45" s="42">
        <f t="shared" si="34"/>
        <v>1105112.8692694928</v>
      </c>
    </row>
    <row r="46" spans="1:14" x14ac:dyDescent="0.3">
      <c r="A46" s="34" t="s">
        <v>41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</row>
    <row r="47" spans="1:14" x14ac:dyDescent="0.3">
      <c r="A47" s="34" t="s">
        <v>42</v>
      </c>
      <c r="B47" s="42">
        <f t="shared" ref="B47:N47" si="35">B34</f>
        <v>687636.06756999996</v>
      </c>
      <c r="C47" s="42">
        <f t="shared" si="35"/>
        <v>706083.84657387889</v>
      </c>
      <c r="D47" s="42">
        <f t="shared" si="35"/>
        <v>753002.53704354749</v>
      </c>
      <c r="E47" s="42">
        <f t="shared" si="35"/>
        <v>788997.10678754118</v>
      </c>
      <c r="F47" s="42">
        <f t="shared" si="35"/>
        <v>823109.55213015422</v>
      </c>
      <c r="G47" s="42">
        <f t="shared" si="35"/>
        <v>857509.45816817111</v>
      </c>
      <c r="H47" s="42">
        <f t="shared" si="35"/>
        <v>891922.14593157219</v>
      </c>
      <c r="I47" s="42">
        <f t="shared" si="35"/>
        <v>926630.78882857622</v>
      </c>
      <c r="J47" s="42">
        <f t="shared" si="35"/>
        <v>961642.28422892746</v>
      </c>
      <c r="K47" s="42">
        <f t="shared" si="35"/>
        <v>996974.91895196575</v>
      </c>
      <c r="L47" s="42">
        <f t="shared" si="35"/>
        <v>1032656.6692027713</v>
      </c>
      <c r="M47" s="42">
        <f t="shared" si="35"/>
        <v>1068697.7106282478</v>
      </c>
      <c r="N47" s="42">
        <f t="shared" si="35"/>
        <v>1105112.8692694928</v>
      </c>
    </row>
    <row r="48" spans="1:14" ht="6.6" customHeight="1" x14ac:dyDescent="0.3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21.6" hidden="1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" customHeight="1" x14ac:dyDescent="0.3">
      <c r="A50" s="7"/>
      <c r="B50" s="3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">
      <c r="A51" s="9" t="s">
        <v>44</v>
      </c>
      <c r="B51" s="8">
        <v>68.44</v>
      </c>
      <c r="C51" s="8">
        <v>68.44</v>
      </c>
      <c r="D51" s="8">
        <v>68.44</v>
      </c>
      <c r="E51" s="8">
        <v>68.44</v>
      </c>
      <c r="F51" s="8">
        <v>68.44</v>
      </c>
      <c r="G51" s="8">
        <v>68.44</v>
      </c>
      <c r="H51" s="8">
        <v>68.44</v>
      </c>
      <c r="I51" s="8">
        <v>68.44</v>
      </c>
      <c r="J51" s="8">
        <v>68.44</v>
      </c>
      <c r="K51" s="8">
        <v>68.44</v>
      </c>
      <c r="L51" s="8">
        <v>68.44</v>
      </c>
      <c r="M51" s="8">
        <v>68.44</v>
      </c>
      <c r="N51" s="8">
        <v>68.44</v>
      </c>
    </row>
    <row r="52" spans="1:14" x14ac:dyDescent="0.3">
      <c r="A52" s="9" t="s">
        <v>54</v>
      </c>
      <c r="B52" s="8">
        <f>1031.2*(1+B4)</f>
        <v>1084.8224</v>
      </c>
      <c r="C52" s="8">
        <f t="shared" ref="C52:N52" si="36">B52*(1+C4)</f>
        <v>1120.6215391999999</v>
      </c>
      <c r="D52" s="8">
        <f t="shared" si="36"/>
        <v>1147.5164561407998</v>
      </c>
      <c r="E52" s="8">
        <f t="shared" si="36"/>
        <v>1172.7618181758974</v>
      </c>
      <c r="F52" s="8">
        <f t="shared" si="36"/>
        <v>1196.2170545394154</v>
      </c>
      <c r="G52" s="8">
        <f t="shared" si="36"/>
        <v>1220.1413956302038</v>
      </c>
      <c r="H52" s="8">
        <f t="shared" si="36"/>
        <v>1244.5442235428079</v>
      </c>
      <c r="I52" s="8">
        <f t="shared" si="36"/>
        <v>1269.4351080136641</v>
      </c>
      <c r="J52" s="8">
        <f t="shared" si="36"/>
        <v>1294.8238101739375</v>
      </c>
      <c r="K52" s="8">
        <f t="shared" si="36"/>
        <v>1320.7202863774164</v>
      </c>
      <c r="L52" s="8">
        <f t="shared" si="36"/>
        <v>1347.1346921049649</v>
      </c>
      <c r="M52" s="8">
        <f t="shared" si="36"/>
        <v>1374.0773859470642</v>
      </c>
      <c r="N52" s="8">
        <f t="shared" si="36"/>
        <v>1401.5589336660055</v>
      </c>
    </row>
    <row r="53" spans="1:14" x14ac:dyDescent="0.3">
      <c r="A53" s="9" t="s">
        <v>20</v>
      </c>
      <c r="B53" s="43">
        <f>((B41*1.22*B51+B42*1.22*B51)*365/12/1000)</f>
        <v>8.8194415900123335</v>
      </c>
      <c r="C53" s="43">
        <f>((C41*1.23*C51+C42*1.23*C51)*365/12/1000)</f>
        <v>8.8917320948484999</v>
      </c>
      <c r="D53" s="43">
        <f>((D41*1.24*D51+D42*1.24*D51)*365/12/1000)</f>
        <v>14.956327563857924</v>
      </c>
      <c r="E53" s="43">
        <f>((E41*1.24*E51+E42*1.24*E51)*365/12/1000)</f>
        <v>15.742313046448185</v>
      </c>
      <c r="F53" s="43">
        <f>((F41*1.24*F51+F42*1.24*F51)*365/12/1000)</f>
        <v>16.424945100715608</v>
      </c>
      <c r="G53" s="43">
        <f t="shared" ref="G53:N53" si="37">((G41*1.22*G51+G42*1.22*G51)*365/12/1000)</f>
        <v>16.836194465658142</v>
      </c>
      <c r="H53" s="43">
        <f t="shared" si="37"/>
        <v>17.51270053599433</v>
      </c>
      <c r="I53" s="43">
        <f t="shared" si="37"/>
        <v>18.18145059860715</v>
      </c>
      <c r="J53" s="43">
        <f t="shared" si="37"/>
        <v>18.867036737779429</v>
      </c>
      <c r="K53" s="43">
        <f t="shared" si="37"/>
        <v>19.557287276831087</v>
      </c>
      <c r="L53" s="43">
        <f t="shared" si="37"/>
        <v>20.249028443672305</v>
      </c>
      <c r="M53" s="43">
        <f t="shared" si="37"/>
        <v>20.948429886116745</v>
      </c>
      <c r="N53" s="43">
        <f t="shared" si="37"/>
        <v>21.651821707952088</v>
      </c>
    </row>
    <row r="54" spans="1:14" x14ac:dyDescent="0.3">
      <c r="A54" s="10" t="s">
        <v>21</v>
      </c>
      <c r="B54" s="44">
        <f t="shared" ref="B54:N54" si="38">B53/B52</f>
        <v>8.1298483420072579E-3</v>
      </c>
      <c r="C54" s="44">
        <f t="shared" si="38"/>
        <v>7.9346432170099238E-3</v>
      </c>
      <c r="D54" s="44">
        <f t="shared" si="38"/>
        <v>1.3033649743165678E-2</v>
      </c>
      <c r="E54" s="44">
        <f t="shared" si="38"/>
        <v>1.34232823770931E-2</v>
      </c>
      <c r="F54" s="44">
        <f t="shared" si="38"/>
        <v>1.373073978370905E-2</v>
      </c>
      <c r="G54" s="44">
        <f t="shared" si="38"/>
        <v>1.3798560171759632E-2</v>
      </c>
      <c r="H54" s="44">
        <f t="shared" si="38"/>
        <v>1.4071577533935623E-2</v>
      </c>
      <c r="I54" s="44">
        <f t="shared" si="38"/>
        <v>1.4322473424463888E-2</v>
      </c>
      <c r="J54" s="44">
        <f t="shared" si="38"/>
        <v>1.4571122796425071E-2</v>
      </c>
      <c r="K54" s="44">
        <f t="shared" si="38"/>
        <v>1.4808046396012037E-2</v>
      </c>
      <c r="L54" s="44">
        <f t="shared" si="38"/>
        <v>1.5031183267971662E-2</v>
      </c>
      <c r="M54" s="44">
        <f t="shared" si="38"/>
        <v>1.5245451311811179E-2</v>
      </c>
      <c r="N54" s="44">
        <f t="shared" si="38"/>
        <v>1.5448384786302368E-2</v>
      </c>
    </row>
    <row r="55" spans="1:14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3">
      <c r="A56" s="10" t="s">
        <v>16</v>
      </c>
      <c r="B56" s="15">
        <f t="shared" ref="B56:N56" si="39">B44+B46</f>
        <v>455350.60003216006</v>
      </c>
      <c r="C56" s="15">
        <f t="shared" si="39"/>
        <v>453320.52445064054</v>
      </c>
      <c r="D56" s="15">
        <f t="shared" si="39"/>
        <v>752960.54788795882</v>
      </c>
      <c r="E56" s="15">
        <f t="shared" si="39"/>
        <v>788939.33509701374</v>
      </c>
      <c r="F56" s="15">
        <f t="shared" si="39"/>
        <v>823010.99399640225</v>
      </c>
      <c r="G56" s="15">
        <f t="shared" si="39"/>
        <v>857439.86273153825</v>
      </c>
      <c r="H56" s="15">
        <f t="shared" si="39"/>
        <v>891918.97764936346</v>
      </c>
      <c r="I56" s="15">
        <f t="shared" si="39"/>
        <v>926191.42034555587</v>
      </c>
      <c r="J56" s="15">
        <f t="shared" si="39"/>
        <v>961374.73705132655</v>
      </c>
      <c r="K56" s="15">
        <f t="shared" si="39"/>
        <v>996855.10639490886</v>
      </c>
      <c r="L56" s="15">
        <f t="shared" si="39"/>
        <v>1032546.5750336777</v>
      </c>
      <c r="M56" s="15">
        <f t="shared" si="39"/>
        <v>1068683.0867077976</v>
      </c>
      <c r="N56" s="15">
        <f t="shared" si="39"/>
        <v>1105050.1920554307</v>
      </c>
    </row>
    <row r="57" spans="1:14" x14ac:dyDescent="0.3">
      <c r="A57" s="1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3">
      <c r="A58" s="10" t="s">
        <v>46</v>
      </c>
      <c r="B58" s="16">
        <v>2025</v>
      </c>
      <c r="C58" s="16">
        <f t="shared" ref="C58" si="40">B58+1</f>
        <v>2026</v>
      </c>
      <c r="D58" s="16">
        <f t="shared" ref="D58" si="41">C58+1</f>
        <v>2027</v>
      </c>
      <c r="E58" s="16">
        <f t="shared" ref="E58" si="42">D58+1</f>
        <v>2028</v>
      </c>
      <c r="F58" s="16">
        <f t="shared" ref="F58" si="43">E58+1</f>
        <v>2029</v>
      </c>
      <c r="G58" s="16">
        <f t="shared" ref="G58" si="44">F58+1</f>
        <v>2030</v>
      </c>
      <c r="H58" s="16">
        <f t="shared" ref="H58" si="45">G58+1</f>
        <v>2031</v>
      </c>
      <c r="I58" s="16">
        <f t="shared" ref="I58" si="46">H58+1</f>
        <v>2032</v>
      </c>
      <c r="J58" s="16">
        <f t="shared" ref="J58" si="47">I58+1</f>
        <v>2033</v>
      </c>
      <c r="K58" s="16">
        <f t="shared" ref="K58" si="48">J58+1</f>
        <v>2034</v>
      </c>
      <c r="L58" s="16">
        <f t="shared" ref="L58" si="49">K58+1</f>
        <v>2035</v>
      </c>
      <c r="M58" s="16">
        <f t="shared" ref="M58" si="50">L58+1</f>
        <v>2036</v>
      </c>
      <c r="N58" s="16">
        <f t="shared" ref="N58" si="51">M58+1</f>
        <v>2037</v>
      </c>
    </row>
    <row r="59" spans="1:14" x14ac:dyDescent="0.3">
      <c r="A59" s="9" t="s">
        <v>11</v>
      </c>
      <c r="B59" s="8">
        <f t="shared" ref="B59:N59" si="52">B56</f>
        <v>455350.60003216006</v>
      </c>
      <c r="C59" s="8">
        <f t="shared" si="52"/>
        <v>453320.52445064054</v>
      </c>
      <c r="D59" s="8">
        <f t="shared" si="52"/>
        <v>752960.54788795882</v>
      </c>
      <c r="E59" s="8">
        <f t="shared" si="52"/>
        <v>788939.33509701374</v>
      </c>
      <c r="F59" s="8">
        <f t="shared" si="52"/>
        <v>823010.99399640225</v>
      </c>
      <c r="G59" s="8">
        <f t="shared" si="52"/>
        <v>857439.86273153825</v>
      </c>
      <c r="H59" s="8">
        <f t="shared" si="52"/>
        <v>891918.97764936346</v>
      </c>
      <c r="I59" s="8">
        <f t="shared" si="52"/>
        <v>926191.42034555587</v>
      </c>
      <c r="J59" s="8">
        <f t="shared" si="52"/>
        <v>961374.73705132655</v>
      </c>
      <c r="K59" s="8">
        <f t="shared" si="52"/>
        <v>996855.10639490886</v>
      </c>
      <c r="L59" s="8">
        <f t="shared" si="52"/>
        <v>1032546.5750336777</v>
      </c>
      <c r="M59" s="8">
        <f t="shared" si="52"/>
        <v>1068683.0867077976</v>
      </c>
      <c r="N59" s="8">
        <f t="shared" si="52"/>
        <v>1105050.1920554307</v>
      </c>
    </row>
    <row r="60" spans="1:14" x14ac:dyDescent="0.3">
      <c r="A60" s="9" t="s">
        <v>25</v>
      </c>
      <c r="B60" s="8">
        <f t="shared" ref="B60:N60" si="53">B27</f>
        <v>410979</v>
      </c>
      <c r="C60" s="8">
        <f t="shared" si="53"/>
        <v>425237.24279894261</v>
      </c>
      <c r="D60" s="8">
        <f t="shared" si="53"/>
        <v>436421.61389767093</v>
      </c>
      <c r="E60" s="8">
        <f t="shared" si="53"/>
        <v>447183.23078095273</v>
      </c>
      <c r="F60" s="8">
        <f t="shared" si="53"/>
        <v>455970.72192383895</v>
      </c>
      <c r="G60" s="8">
        <f t="shared" si="53"/>
        <v>464950.1550240746</v>
      </c>
      <c r="H60" s="8">
        <f t="shared" si="53"/>
        <v>474111.53232428734</v>
      </c>
      <c r="I60" s="8">
        <f t="shared" si="53"/>
        <v>483475.66645722295</v>
      </c>
      <c r="J60" s="8">
        <f t="shared" si="53"/>
        <v>493032.18494618585</v>
      </c>
      <c r="K60" s="8">
        <f t="shared" si="53"/>
        <v>502783.27705341903</v>
      </c>
      <c r="L60" s="8">
        <f t="shared" si="53"/>
        <v>512741.19796943536</v>
      </c>
      <c r="M60" s="8">
        <f t="shared" si="53"/>
        <v>522900.32186056609</v>
      </c>
      <c r="N60" s="8">
        <f t="shared" si="53"/>
        <v>533260.5687539801</v>
      </c>
    </row>
    <row r="61" spans="1:14" x14ac:dyDescent="0.3">
      <c r="A61" s="9" t="s">
        <v>32</v>
      </c>
      <c r="B61" s="8">
        <f t="shared" ref="B61:N61" si="54">B59-B60</f>
        <v>44371.600032160059</v>
      </c>
      <c r="C61" s="8">
        <f t="shared" si="54"/>
        <v>28083.281651697936</v>
      </c>
      <c r="D61" s="8">
        <f t="shared" si="54"/>
        <v>316538.93399028789</v>
      </c>
      <c r="E61" s="8">
        <f t="shared" si="54"/>
        <v>341756.10431606101</v>
      </c>
      <c r="F61" s="8">
        <f t="shared" si="54"/>
        <v>367040.2720725633</v>
      </c>
      <c r="G61" s="8">
        <f t="shared" si="54"/>
        <v>392489.70770746365</v>
      </c>
      <c r="H61" s="8">
        <f t="shared" si="54"/>
        <v>417807.44532507611</v>
      </c>
      <c r="I61" s="8">
        <f t="shared" si="54"/>
        <v>442715.75388833293</v>
      </c>
      <c r="J61" s="8">
        <f t="shared" si="54"/>
        <v>468342.5521051407</v>
      </c>
      <c r="K61" s="8">
        <f t="shared" si="54"/>
        <v>494071.82934148982</v>
      </c>
      <c r="L61" s="8">
        <f t="shared" si="54"/>
        <v>519805.37706424238</v>
      </c>
      <c r="M61" s="8">
        <f t="shared" si="54"/>
        <v>545782.76484723156</v>
      </c>
      <c r="N61" s="8">
        <f t="shared" si="54"/>
        <v>571789.62330145063</v>
      </c>
    </row>
    <row r="62" spans="1:14" x14ac:dyDescent="0.3">
      <c r="A62" s="9" t="s">
        <v>50</v>
      </c>
      <c r="B62" s="8">
        <v>40505</v>
      </c>
      <c r="C62" s="8">
        <v>38508.609375</v>
      </c>
      <c r="D62" s="8">
        <v>74391.218747999999</v>
      </c>
      <c r="E62" s="8">
        <v>99950.193183455995</v>
      </c>
      <c r="F62" s="8">
        <v>126020.34710762111</v>
      </c>
      <c r="G62" s="8">
        <v>140587.90411026953</v>
      </c>
      <c r="H62" s="8">
        <v>153995.29225297092</v>
      </c>
      <c r="I62" s="8">
        <v>181661.14815852634</v>
      </c>
      <c r="J62" s="8">
        <v>209880.32118219289</v>
      </c>
      <c r="K62" s="8">
        <v>238663.87766633276</v>
      </c>
      <c r="L62" s="8">
        <v>268023.10528015543</v>
      </c>
      <c r="M62" s="8">
        <v>292058.90807125455</v>
      </c>
      <c r="N62" s="8">
        <v>279863.6391076757</v>
      </c>
    </row>
    <row r="63" spans="1:14" x14ac:dyDescent="0.3">
      <c r="A63" s="9" t="s">
        <v>49</v>
      </c>
      <c r="B63" s="8">
        <v>6176.4838350000009</v>
      </c>
      <c r="C63" s="8">
        <v>7033.4813489062508</v>
      </c>
      <c r="D63" s="8">
        <v>25788.893696550003</v>
      </c>
      <c r="E63" s="8">
        <v>34515.894215991597</v>
      </c>
      <c r="F63" s="8">
        <v>42207.756270797232</v>
      </c>
      <c r="G63" s="8">
        <v>49072.89441167417</v>
      </c>
      <c r="H63" s="8">
        <v>55351.550193943869</v>
      </c>
      <c r="I63" s="8">
        <v>60793.067136434147</v>
      </c>
      <c r="J63" s="8">
        <v>65114.116914749429</v>
      </c>
      <c r="K63" s="8">
        <v>68292.290185606224</v>
      </c>
      <c r="L63" s="8">
        <v>70304.729418855335</v>
      </c>
      <c r="M63" s="8">
        <v>71275.885168119654</v>
      </c>
      <c r="N63" s="8">
        <v>72250.491693356948</v>
      </c>
    </row>
    <row r="64" spans="1:14" x14ac:dyDescent="0.3">
      <c r="A64" s="10" t="s">
        <v>18</v>
      </c>
      <c r="B64" s="13">
        <f t="shared" ref="B64:N64" si="55">B61/(B62+B63)</f>
        <v>0.95051820094227435</v>
      </c>
      <c r="C64" s="13">
        <f t="shared" si="55"/>
        <v>0.61664454146274572</v>
      </c>
      <c r="D64" s="13">
        <f t="shared" si="55"/>
        <v>3.1596983300003099</v>
      </c>
      <c r="E64" s="13">
        <f t="shared" si="55"/>
        <v>2.5415784078020627</v>
      </c>
      <c r="F64" s="13">
        <f t="shared" si="55"/>
        <v>2.1818011658071761</v>
      </c>
      <c r="G64" s="13">
        <f t="shared" si="55"/>
        <v>2.0694297965958035</v>
      </c>
      <c r="H64" s="13">
        <f t="shared" si="55"/>
        <v>1.9957666446821227</v>
      </c>
      <c r="I64" s="13">
        <f t="shared" si="55"/>
        <v>1.8259767245116443</v>
      </c>
      <c r="J64" s="13">
        <f t="shared" si="55"/>
        <v>1.7030982711731733</v>
      </c>
      <c r="K64" s="13">
        <f t="shared" si="55"/>
        <v>1.6095843025373138</v>
      </c>
      <c r="L64" s="13">
        <f t="shared" si="55"/>
        <v>1.5363955422901603</v>
      </c>
      <c r="M64" s="13">
        <f t="shared" si="55"/>
        <v>1.5021483628947587</v>
      </c>
      <c r="N64" s="13">
        <f t="shared" si="55"/>
        <v>1.6238758211738709</v>
      </c>
    </row>
    <row r="65" spans="1:14" x14ac:dyDescent="0.3">
      <c r="A65" s="1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0.75" hidden="1" customHeight="1" x14ac:dyDescent="0.3">
      <c r="A66" s="11" t="s">
        <v>10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idden="1" x14ac:dyDescent="0.3">
      <c r="A67" s="9" t="s">
        <v>11</v>
      </c>
      <c r="B67" s="8">
        <f t="shared" ref="B67:N67" si="56">B56</f>
        <v>455350.60003216006</v>
      </c>
      <c r="C67" s="8">
        <f t="shared" si="56"/>
        <v>453320.52445064054</v>
      </c>
      <c r="D67" s="8">
        <f t="shared" si="56"/>
        <v>752960.54788795882</v>
      </c>
      <c r="E67" s="8">
        <f t="shared" si="56"/>
        <v>788939.33509701374</v>
      </c>
      <c r="F67" s="8">
        <f t="shared" si="56"/>
        <v>823010.99399640225</v>
      </c>
      <c r="G67" s="8">
        <f t="shared" si="56"/>
        <v>857439.86273153825</v>
      </c>
      <c r="H67" s="8">
        <f t="shared" si="56"/>
        <v>891918.97764936346</v>
      </c>
      <c r="I67" s="8">
        <f t="shared" si="56"/>
        <v>926191.42034555587</v>
      </c>
      <c r="J67" s="8">
        <f t="shared" si="56"/>
        <v>961374.73705132655</v>
      </c>
      <c r="K67" s="8">
        <f t="shared" si="56"/>
        <v>996855.10639490886</v>
      </c>
      <c r="L67" s="8">
        <f t="shared" si="56"/>
        <v>1032546.5750336777</v>
      </c>
      <c r="M67" s="8">
        <f t="shared" si="56"/>
        <v>1068683.0867077976</v>
      </c>
      <c r="N67" s="8">
        <f t="shared" si="56"/>
        <v>1105050.1920554307</v>
      </c>
    </row>
    <row r="68" spans="1:14" hidden="1" x14ac:dyDescent="0.3">
      <c r="A68" s="9" t="s">
        <v>25</v>
      </c>
      <c r="B68" s="8">
        <f t="shared" ref="B68:N68" si="57">B27</f>
        <v>410979</v>
      </c>
      <c r="C68" s="8">
        <f t="shared" si="57"/>
        <v>425237.24279894261</v>
      </c>
      <c r="D68" s="8">
        <f t="shared" si="57"/>
        <v>436421.61389767093</v>
      </c>
      <c r="E68" s="8">
        <f t="shared" si="57"/>
        <v>447183.23078095273</v>
      </c>
      <c r="F68" s="8">
        <f t="shared" si="57"/>
        <v>455970.72192383895</v>
      </c>
      <c r="G68" s="8">
        <f t="shared" si="57"/>
        <v>464950.1550240746</v>
      </c>
      <c r="H68" s="8">
        <f t="shared" si="57"/>
        <v>474111.53232428734</v>
      </c>
      <c r="I68" s="8">
        <f t="shared" si="57"/>
        <v>483475.66645722295</v>
      </c>
      <c r="J68" s="8">
        <f t="shared" si="57"/>
        <v>493032.18494618585</v>
      </c>
      <c r="K68" s="8">
        <f t="shared" si="57"/>
        <v>502783.27705341903</v>
      </c>
      <c r="L68" s="8">
        <f t="shared" si="57"/>
        <v>512741.19796943536</v>
      </c>
      <c r="M68" s="8">
        <f t="shared" si="57"/>
        <v>522900.32186056609</v>
      </c>
      <c r="N68" s="8">
        <f t="shared" si="57"/>
        <v>533260.5687539801</v>
      </c>
    </row>
    <row r="69" spans="1:14" hidden="1" x14ac:dyDescent="0.3">
      <c r="A69" s="9" t="s">
        <v>17</v>
      </c>
      <c r="B69" s="8">
        <f t="shared" ref="B69:N69" si="58">B67-B68</f>
        <v>44371.600032160059</v>
      </c>
      <c r="C69" s="8">
        <f t="shared" si="58"/>
        <v>28083.281651697936</v>
      </c>
      <c r="D69" s="8">
        <f t="shared" si="58"/>
        <v>316538.93399028789</v>
      </c>
      <c r="E69" s="8">
        <f t="shared" si="58"/>
        <v>341756.10431606101</v>
      </c>
      <c r="F69" s="8">
        <f t="shared" si="58"/>
        <v>367040.2720725633</v>
      </c>
      <c r="G69" s="8">
        <f t="shared" si="58"/>
        <v>392489.70770746365</v>
      </c>
      <c r="H69" s="8">
        <f t="shared" si="58"/>
        <v>417807.44532507611</v>
      </c>
      <c r="I69" s="8">
        <f t="shared" si="58"/>
        <v>442715.75388833293</v>
      </c>
      <c r="J69" s="8">
        <f t="shared" si="58"/>
        <v>468342.5521051407</v>
      </c>
      <c r="K69" s="8">
        <f t="shared" si="58"/>
        <v>494071.82934148982</v>
      </c>
      <c r="L69" s="8">
        <f t="shared" si="58"/>
        <v>519805.37706424238</v>
      </c>
      <c r="M69" s="8">
        <f t="shared" si="58"/>
        <v>545782.76484723156</v>
      </c>
      <c r="N69" s="8">
        <f t="shared" si="58"/>
        <v>571789.62330145063</v>
      </c>
    </row>
    <row r="70" spans="1:14" hidden="1" x14ac:dyDescent="0.3">
      <c r="A70" s="9" t="s">
        <v>15</v>
      </c>
      <c r="B70" s="8" t="e">
        <f>#REF!+#REF!</f>
        <v>#REF!</v>
      </c>
      <c r="C70" s="8" t="e">
        <f>#REF!+#REF!</f>
        <v>#REF!</v>
      </c>
      <c r="D70" s="8" t="e">
        <f>#REF!+#REF!</f>
        <v>#REF!</v>
      </c>
      <c r="E70" s="8" t="e">
        <f>#REF!+#REF!</f>
        <v>#REF!</v>
      </c>
      <c r="F70" s="8" t="e">
        <f>#REF!+#REF!</f>
        <v>#REF!</v>
      </c>
      <c r="G70" s="8" t="e">
        <f>#REF!+#REF!</f>
        <v>#REF!</v>
      </c>
      <c r="H70" s="8" t="e">
        <f>#REF!+#REF!</f>
        <v>#REF!</v>
      </c>
      <c r="I70" s="8" t="e">
        <f>#REF!+#REF!</f>
        <v>#REF!</v>
      </c>
      <c r="J70" s="8" t="e">
        <f>#REF!+#REF!</f>
        <v>#REF!</v>
      </c>
      <c r="K70" s="8" t="e">
        <f>#REF!+#REF!</f>
        <v>#REF!</v>
      </c>
      <c r="L70" s="8" t="e">
        <f>#REF!+#REF!</f>
        <v>#REF!</v>
      </c>
      <c r="M70" s="8" t="e">
        <f>#REF!+#REF!</f>
        <v>#REF!</v>
      </c>
      <c r="N70" s="8" t="e">
        <f>#REF!+#REF!</f>
        <v>#REF!</v>
      </c>
    </row>
    <row r="71" spans="1:14" ht="15" hidden="1" customHeight="1" x14ac:dyDescent="0.3">
      <c r="A71" s="10" t="s">
        <v>18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idden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idden="1" x14ac:dyDescent="0.3">
      <c r="A73" s="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</row>
    <row r="74" spans="1:14" x14ac:dyDescent="0.3">
      <c r="A74" s="10" t="s">
        <v>24</v>
      </c>
      <c r="B74" s="16">
        <v>2025</v>
      </c>
      <c r="C74" s="16">
        <f t="shared" ref="C74" si="59">B74+1</f>
        <v>2026</v>
      </c>
      <c r="D74" s="16">
        <f t="shared" ref="D74" si="60">C74+1</f>
        <v>2027</v>
      </c>
      <c r="E74" s="16">
        <f t="shared" ref="E74" si="61">D74+1</f>
        <v>2028</v>
      </c>
      <c r="F74" s="16">
        <f t="shared" ref="F74" si="62">E74+1</f>
        <v>2029</v>
      </c>
      <c r="G74" s="16">
        <f t="shared" ref="G74" si="63">F74+1</f>
        <v>2030</v>
      </c>
      <c r="H74" s="16">
        <f t="shared" ref="H74" si="64">G74+1</f>
        <v>2031</v>
      </c>
      <c r="I74" s="16">
        <f t="shared" ref="I74" si="65">H74+1</f>
        <v>2032</v>
      </c>
      <c r="J74" s="16">
        <f t="shared" ref="J74" si="66">I74+1</f>
        <v>2033</v>
      </c>
      <c r="K74" s="16">
        <f t="shared" ref="K74" si="67">J74+1</f>
        <v>2034</v>
      </c>
      <c r="L74" s="16">
        <f t="shared" ref="L74" si="68">K74+1</f>
        <v>2035</v>
      </c>
      <c r="M74" s="16">
        <f t="shared" ref="M74" si="69">L74+1</f>
        <v>2036</v>
      </c>
      <c r="N74" s="16">
        <f t="shared" ref="N74" si="70">M74+1</f>
        <v>2037</v>
      </c>
    </row>
    <row r="75" spans="1:14" x14ac:dyDescent="0.3">
      <c r="A75" s="9" t="s">
        <v>11</v>
      </c>
      <c r="B75" s="8">
        <f t="shared" ref="B75:N75" si="71">B56</f>
        <v>455350.60003216006</v>
      </c>
      <c r="C75" s="8">
        <f t="shared" si="71"/>
        <v>453320.52445064054</v>
      </c>
      <c r="D75" s="8">
        <f t="shared" si="71"/>
        <v>752960.54788795882</v>
      </c>
      <c r="E75" s="8">
        <f t="shared" si="71"/>
        <v>788939.33509701374</v>
      </c>
      <c r="F75" s="8">
        <f t="shared" si="71"/>
        <v>823010.99399640225</v>
      </c>
      <c r="G75" s="8">
        <f t="shared" si="71"/>
        <v>857439.86273153825</v>
      </c>
      <c r="H75" s="8">
        <f t="shared" si="71"/>
        <v>891918.97764936346</v>
      </c>
      <c r="I75" s="8">
        <f t="shared" si="71"/>
        <v>926191.42034555587</v>
      </c>
      <c r="J75" s="8">
        <f t="shared" si="71"/>
        <v>961374.73705132655</v>
      </c>
      <c r="K75" s="8">
        <f t="shared" si="71"/>
        <v>996855.10639490886</v>
      </c>
      <c r="L75" s="8">
        <f t="shared" si="71"/>
        <v>1032546.5750336777</v>
      </c>
      <c r="M75" s="8">
        <f t="shared" si="71"/>
        <v>1068683.0867077976</v>
      </c>
      <c r="N75" s="8">
        <f t="shared" si="71"/>
        <v>1105050.1920554307</v>
      </c>
    </row>
    <row r="76" spans="1:14" x14ac:dyDescent="0.3">
      <c r="A76" s="9" t="s">
        <v>19</v>
      </c>
      <c r="B76" s="8">
        <f t="shared" ref="B76:N76" si="72">B27</f>
        <v>410979</v>
      </c>
      <c r="C76" s="8">
        <f t="shared" si="72"/>
        <v>425237.24279894261</v>
      </c>
      <c r="D76" s="8">
        <f t="shared" si="72"/>
        <v>436421.61389767093</v>
      </c>
      <c r="E76" s="8">
        <f t="shared" si="72"/>
        <v>447183.23078095273</v>
      </c>
      <c r="F76" s="8">
        <f t="shared" si="72"/>
        <v>455970.72192383895</v>
      </c>
      <c r="G76" s="8">
        <f t="shared" si="72"/>
        <v>464950.1550240746</v>
      </c>
      <c r="H76" s="8">
        <f t="shared" si="72"/>
        <v>474111.53232428734</v>
      </c>
      <c r="I76" s="8">
        <f t="shared" si="72"/>
        <v>483475.66645722295</v>
      </c>
      <c r="J76" s="8">
        <f t="shared" si="72"/>
        <v>493032.18494618585</v>
      </c>
      <c r="K76" s="8">
        <f t="shared" si="72"/>
        <v>502783.27705341903</v>
      </c>
      <c r="L76" s="8">
        <f t="shared" si="72"/>
        <v>512741.19796943536</v>
      </c>
      <c r="M76" s="8">
        <f t="shared" si="72"/>
        <v>522900.32186056609</v>
      </c>
      <c r="N76" s="8">
        <f t="shared" si="72"/>
        <v>533260.5687539801</v>
      </c>
    </row>
    <row r="77" spans="1:14" x14ac:dyDescent="0.3">
      <c r="A77" s="9" t="s">
        <v>22</v>
      </c>
      <c r="B77" s="8">
        <f t="shared" ref="B77:N77" si="73">B29</f>
        <v>45566</v>
      </c>
      <c r="C77" s="8">
        <f t="shared" si="73"/>
        <v>47930.243750000001</v>
      </c>
      <c r="D77" s="8">
        <f t="shared" si="73"/>
        <v>55022.974999999999</v>
      </c>
      <c r="E77" s="8">
        <f t="shared" si="73"/>
        <v>65026.487499199997</v>
      </c>
      <c r="F77" s="8">
        <f t="shared" si="73"/>
        <v>75250.077273382398</v>
      </c>
      <c r="G77" s="8">
        <f t="shared" si="73"/>
        <v>85678.138843048451</v>
      </c>
      <c r="H77" s="8">
        <f t="shared" si="73"/>
        <v>96314.761644107813</v>
      </c>
      <c r="I77" s="8">
        <f t="shared" si="73"/>
        <v>107164.11690118838</v>
      </c>
      <c r="J77" s="8">
        <f t="shared" si="73"/>
        <v>118230.45926341055</v>
      </c>
      <c r="K77" s="8">
        <f t="shared" si="73"/>
        <v>129518.12847287716</v>
      </c>
      <c r="L77" s="8">
        <f t="shared" si="73"/>
        <v>141031.55106653311</v>
      </c>
      <c r="M77" s="8">
        <f t="shared" si="73"/>
        <v>152775.24211206217</v>
      </c>
      <c r="N77" s="8">
        <f t="shared" si="73"/>
        <v>164753.80697850182</v>
      </c>
    </row>
    <row r="78" spans="1:14" x14ac:dyDescent="0.3">
      <c r="A78" s="34" t="s">
        <v>23</v>
      </c>
      <c r="B78" s="32">
        <f t="shared" ref="B78:N78" si="74">B75-B76</f>
        <v>44371.600032160059</v>
      </c>
      <c r="C78" s="32">
        <f t="shared" si="74"/>
        <v>28083.281651697936</v>
      </c>
      <c r="D78" s="32">
        <f t="shared" si="74"/>
        <v>316538.93399028789</v>
      </c>
      <c r="E78" s="32">
        <f t="shared" si="74"/>
        <v>341756.10431606101</v>
      </c>
      <c r="F78" s="32">
        <f t="shared" si="74"/>
        <v>367040.2720725633</v>
      </c>
      <c r="G78" s="32">
        <f t="shared" si="74"/>
        <v>392489.70770746365</v>
      </c>
      <c r="H78" s="32">
        <f t="shared" si="74"/>
        <v>417807.44532507611</v>
      </c>
      <c r="I78" s="32">
        <f t="shared" si="74"/>
        <v>442715.75388833293</v>
      </c>
      <c r="J78" s="32">
        <f t="shared" si="74"/>
        <v>468342.5521051407</v>
      </c>
      <c r="K78" s="32">
        <f t="shared" si="74"/>
        <v>494071.82934148982</v>
      </c>
      <c r="L78" s="32">
        <f t="shared" si="74"/>
        <v>519805.37706424238</v>
      </c>
      <c r="M78" s="32">
        <f t="shared" si="74"/>
        <v>545782.76484723156</v>
      </c>
      <c r="N78" s="32">
        <f t="shared" si="74"/>
        <v>571789.62330145063</v>
      </c>
    </row>
    <row r="79" spans="1:14" x14ac:dyDescent="0.3">
      <c r="A79" s="34" t="s">
        <v>27</v>
      </c>
      <c r="B79" s="32">
        <f t="shared" ref="B79:N79" si="75">B75-(B76+B77)</f>
        <v>-1194.3999678399414</v>
      </c>
      <c r="C79" s="32">
        <f t="shared" si="75"/>
        <v>-19846.962098302087</v>
      </c>
      <c r="D79" s="32">
        <f t="shared" si="75"/>
        <v>261515.95899028791</v>
      </c>
      <c r="E79" s="32">
        <f t="shared" si="75"/>
        <v>276729.61681686103</v>
      </c>
      <c r="F79" s="32">
        <f t="shared" si="75"/>
        <v>291790.19479918084</v>
      </c>
      <c r="G79" s="32">
        <f t="shared" si="75"/>
        <v>306811.56886441517</v>
      </c>
      <c r="H79" s="32">
        <f t="shared" si="75"/>
        <v>321492.68368096836</v>
      </c>
      <c r="I79" s="32">
        <f t="shared" si="75"/>
        <v>335551.63698714459</v>
      </c>
      <c r="J79" s="32">
        <f t="shared" si="75"/>
        <v>350112.0928417301</v>
      </c>
      <c r="K79" s="32">
        <f t="shared" si="75"/>
        <v>364553.70086861262</v>
      </c>
      <c r="L79" s="32">
        <f t="shared" si="75"/>
        <v>378773.8259977093</v>
      </c>
      <c r="M79" s="32">
        <f t="shared" si="75"/>
        <v>393007.52273516939</v>
      </c>
      <c r="N79" s="32">
        <f t="shared" si="75"/>
        <v>407035.81632294878</v>
      </c>
    </row>
    <row r="80" spans="1:14" x14ac:dyDescent="0.3">
      <c r="B80" s="7"/>
    </row>
    <row r="81" spans="1:14" x14ac:dyDescent="0.3">
      <c r="A81" s="10" t="s">
        <v>51</v>
      </c>
      <c r="B81" s="16">
        <v>2025</v>
      </c>
      <c r="C81" s="16">
        <f t="shared" ref="C81:D81" si="76">B81+1</f>
        <v>2026</v>
      </c>
      <c r="D81" s="16">
        <f t="shared" si="76"/>
        <v>2027</v>
      </c>
      <c r="E81" s="16">
        <f t="shared" ref="E81" si="77">D81+1</f>
        <v>2028</v>
      </c>
      <c r="F81" s="16">
        <f t="shared" ref="F81" si="78">E81+1</f>
        <v>2029</v>
      </c>
      <c r="G81" s="16">
        <f t="shared" ref="G81" si="79">F81+1</f>
        <v>2030</v>
      </c>
      <c r="H81" s="16">
        <f t="shared" ref="H81" si="80">G81+1</f>
        <v>2031</v>
      </c>
      <c r="I81" s="16">
        <f t="shared" ref="I81" si="81">H81+1</f>
        <v>2032</v>
      </c>
      <c r="J81" s="16">
        <f t="shared" ref="J81" si="82">I81+1</f>
        <v>2033</v>
      </c>
      <c r="K81" s="16">
        <f t="shared" ref="K81" si="83">J81+1</f>
        <v>2034</v>
      </c>
      <c r="L81" s="16">
        <f t="shared" ref="L81" si="84">K81+1</f>
        <v>2035</v>
      </c>
      <c r="M81" s="16">
        <f t="shared" ref="M81" si="85">L81+1</f>
        <v>2036</v>
      </c>
      <c r="N81" s="16">
        <f t="shared" ref="N81" si="86">M81+1</f>
        <v>2037</v>
      </c>
    </row>
    <row r="82" spans="1:14" x14ac:dyDescent="0.3">
      <c r="A82" s="9" t="s">
        <v>33</v>
      </c>
      <c r="B82" s="21">
        <f t="shared" ref="B82" si="87">B56</f>
        <v>455350.60003216006</v>
      </c>
      <c r="C82" s="21">
        <f t="shared" ref="C82:N82" si="88">C56</f>
        <v>453320.52445064054</v>
      </c>
      <c r="D82" s="21">
        <f t="shared" si="88"/>
        <v>752960.54788795882</v>
      </c>
      <c r="E82" s="21">
        <f t="shared" si="88"/>
        <v>788939.33509701374</v>
      </c>
      <c r="F82" s="21">
        <f t="shared" si="88"/>
        <v>823010.99399640225</v>
      </c>
      <c r="G82" s="21">
        <f t="shared" si="88"/>
        <v>857439.86273153825</v>
      </c>
      <c r="H82" s="21">
        <f t="shared" si="88"/>
        <v>891918.97764936346</v>
      </c>
      <c r="I82" s="21">
        <f t="shared" si="88"/>
        <v>926191.42034555587</v>
      </c>
      <c r="J82" s="21">
        <f t="shared" si="88"/>
        <v>961374.73705132655</v>
      </c>
      <c r="K82" s="21">
        <f t="shared" si="88"/>
        <v>996855.10639490886</v>
      </c>
      <c r="L82" s="21">
        <f t="shared" si="88"/>
        <v>1032546.5750336777</v>
      </c>
      <c r="M82" s="21">
        <f t="shared" si="88"/>
        <v>1068683.0867077976</v>
      </c>
      <c r="N82" s="21">
        <f t="shared" si="88"/>
        <v>1105050.1920554307</v>
      </c>
    </row>
    <row r="83" spans="1:14" ht="14.4" customHeight="1" x14ac:dyDescent="0.3">
      <c r="A83" s="35" t="s">
        <v>45</v>
      </c>
      <c r="B83" s="29">
        <v>0</v>
      </c>
      <c r="C83" s="29">
        <v>236424.375</v>
      </c>
      <c r="D83" s="29">
        <v>250087.81247999996</v>
      </c>
      <c r="E83" s="29">
        <v>255589.74435455998</v>
      </c>
      <c r="F83" s="29">
        <v>260701.53924165119</v>
      </c>
      <c r="G83" s="29">
        <v>265915.5700264842</v>
      </c>
      <c r="H83" s="29">
        <v>271233.88142701396</v>
      </c>
      <c r="I83" s="29">
        <v>276658.55905555421</v>
      </c>
      <c r="J83" s="29">
        <v>282191.73023666535</v>
      </c>
      <c r="K83" s="29">
        <v>287835.56484139862</v>
      </c>
      <c r="L83" s="29">
        <v>293592.27613822662</v>
      </c>
      <c r="M83" s="29">
        <v>299464.12166099116</v>
      </c>
      <c r="N83" s="29">
        <v>305453.40409421106</v>
      </c>
    </row>
    <row r="84" spans="1:14" x14ac:dyDescent="0.3">
      <c r="A84" s="9" t="s">
        <v>34</v>
      </c>
      <c r="B84" s="21">
        <f t="shared" ref="B84:N84" si="89">B27</f>
        <v>410979</v>
      </c>
      <c r="C84" s="21">
        <f t="shared" si="89"/>
        <v>425237.24279894261</v>
      </c>
      <c r="D84" s="21">
        <f t="shared" si="89"/>
        <v>436421.61389767093</v>
      </c>
      <c r="E84" s="21">
        <f t="shared" si="89"/>
        <v>447183.23078095273</v>
      </c>
      <c r="F84" s="21">
        <f t="shared" si="89"/>
        <v>455970.72192383895</v>
      </c>
      <c r="G84" s="21">
        <f t="shared" si="89"/>
        <v>464950.1550240746</v>
      </c>
      <c r="H84" s="21">
        <f t="shared" si="89"/>
        <v>474111.53232428734</v>
      </c>
      <c r="I84" s="21">
        <f t="shared" si="89"/>
        <v>483475.66645722295</v>
      </c>
      <c r="J84" s="21">
        <f t="shared" si="89"/>
        <v>493032.18494618585</v>
      </c>
      <c r="K84" s="21">
        <f t="shared" si="89"/>
        <v>502783.27705341903</v>
      </c>
      <c r="L84" s="21">
        <f t="shared" si="89"/>
        <v>512741.19796943536</v>
      </c>
      <c r="M84" s="21">
        <f t="shared" si="89"/>
        <v>522900.32186056609</v>
      </c>
      <c r="N84" s="21">
        <f t="shared" si="89"/>
        <v>533260.5687539801</v>
      </c>
    </row>
    <row r="85" spans="1:14" x14ac:dyDescent="0.3">
      <c r="A85" s="9" t="s">
        <v>35</v>
      </c>
      <c r="B85" s="21">
        <v>0</v>
      </c>
      <c r="C85" s="21">
        <v>315232.5</v>
      </c>
      <c r="D85" s="21">
        <v>333450.41663999995</v>
      </c>
      <c r="E85" s="21">
        <v>340786.32580607996</v>
      </c>
      <c r="F85" s="21">
        <v>347602.05232220161</v>
      </c>
      <c r="G85" s="21">
        <v>354554.09336864564</v>
      </c>
      <c r="H85" s="21">
        <v>361645.17523601861</v>
      </c>
      <c r="I85" s="21">
        <v>368878.07874073897</v>
      </c>
      <c r="J85" s="21">
        <v>376255.64031555376</v>
      </c>
      <c r="K85" s="21">
        <v>383780.75312186487</v>
      </c>
      <c r="L85" s="21">
        <v>391456.36818430218</v>
      </c>
      <c r="M85" s="21">
        <v>399285.49554798822</v>
      </c>
      <c r="N85" s="21">
        <v>407271.20545894804</v>
      </c>
    </row>
    <row r="86" spans="1:14" x14ac:dyDescent="0.3">
      <c r="A86" s="9" t="s">
        <v>36</v>
      </c>
      <c r="B86" s="21">
        <f t="shared" ref="B86" si="90">B62+B63</f>
        <v>46681.483834999999</v>
      </c>
      <c r="C86" s="21">
        <f>C62+C63</f>
        <v>45542.090723906251</v>
      </c>
      <c r="D86" s="21">
        <f t="shared" ref="D86:N86" si="91">D62+D63</f>
        <v>100180.11244455</v>
      </c>
      <c r="E86" s="21">
        <f t="shared" si="91"/>
        <v>134466.0873994476</v>
      </c>
      <c r="F86" s="21">
        <f t="shared" si="91"/>
        <v>168228.10337841834</v>
      </c>
      <c r="G86" s="21">
        <f t="shared" si="91"/>
        <v>189660.79852194371</v>
      </c>
      <c r="H86" s="21">
        <f t="shared" si="91"/>
        <v>209346.84244691479</v>
      </c>
      <c r="I86" s="21">
        <f t="shared" si="91"/>
        <v>242454.21529496048</v>
      </c>
      <c r="J86" s="21">
        <f t="shared" si="91"/>
        <v>274994.43809694232</v>
      </c>
      <c r="K86" s="21">
        <f t="shared" si="91"/>
        <v>306956.16785193898</v>
      </c>
      <c r="L86" s="21">
        <f t="shared" si="91"/>
        <v>338327.83469901077</v>
      </c>
      <c r="M86" s="21">
        <f t="shared" si="91"/>
        <v>363334.79323937418</v>
      </c>
      <c r="N86" s="21">
        <f t="shared" si="91"/>
        <v>352114.13080103265</v>
      </c>
    </row>
    <row r="87" spans="1:14" x14ac:dyDescent="0.3">
      <c r="A87" s="34" t="s">
        <v>52</v>
      </c>
      <c r="B87" s="37">
        <f t="shared" ref="B87" si="92">B82+B83-B84-B85-B86</f>
        <v>-2309.8838028399405</v>
      </c>
      <c r="C87" s="37">
        <f t="shared" ref="C87:N87" si="93">C82+C83-C84-C85-C86</f>
        <v>-96266.934072208314</v>
      </c>
      <c r="D87" s="37">
        <f t="shared" si="93"/>
        <v>132996.21738573795</v>
      </c>
      <c r="E87" s="37">
        <f t="shared" si="93"/>
        <v>122093.4354650935</v>
      </c>
      <c r="F87" s="37">
        <f t="shared" si="93"/>
        <v>111911.65561359443</v>
      </c>
      <c r="G87" s="37">
        <f t="shared" si="93"/>
        <v>114190.38584335861</v>
      </c>
      <c r="H87" s="37">
        <f t="shared" si="93"/>
        <v>118049.30906915673</v>
      </c>
      <c r="I87" s="37">
        <f t="shared" si="93"/>
        <v>108042.01890818775</v>
      </c>
      <c r="J87" s="37">
        <f t="shared" si="93"/>
        <v>99284.203929309908</v>
      </c>
      <c r="K87" s="37">
        <f t="shared" si="93"/>
        <v>91170.473209084477</v>
      </c>
      <c r="L87" s="37">
        <f t="shared" si="93"/>
        <v>83613.450319155934</v>
      </c>
      <c r="M87" s="37">
        <f t="shared" si="93"/>
        <v>82626.597720860271</v>
      </c>
      <c r="N87" s="37">
        <f t="shared" si="93"/>
        <v>117857.691135681</v>
      </c>
    </row>
    <row r="88" spans="1:14" x14ac:dyDescent="0.3">
      <c r="A88" s="34" t="s">
        <v>57</v>
      </c>
      <c r="B88" s="37">
        <f>B87</f>
        <v>-2309.8838028399405</v>
      </c>
      <c r="C88" s="37">
        <f t="shared" ref="C88:N88" si="94">B88+C87</f>
        <v>-98576.817875048262</v>
      </c>
      <c r="D88" s="37">
        <f t="shared" si="94"/>
        <v>34419.399510689691</v>
      </c>
      <c r="E88" s="37">
        <f t="shared" si="94"/>
        <v>156512.83497578319</v>
      </c>
      <c r="F88" s="37">
        <f t="shared" si="94"/>
        <v>268424.49058937759</v>
      </c>
      <c r="G88" s="37">
        <f t="shared" si="94"/>
        <v>382614.87643273617</v>
      </c>
      <c r="H88" s="37">
        <f t="shared" si="94"/>
        <v>500664.18550189293</v>
      </c>
      <c r="I88" s="37">
        <f t="shared" si="94"/>
        <v>608706.20441008068</v>
      </c>
      <c r="J88" s="37">
        <f t="shared" si="94"/>
        <v>707990.40833939053</v>
      </c>
      <c r="K88" s="37">
        <f t="shared" si="94"/>
        <v>799160.88154847501</v>
      </c>
      <c r="L88" s="37">
        <f t="shared" si="94"/>
        <v>882774.33186763094</v>
      </c>
      <c r="M88" s="37">
        <f t="shared" si="94"/>
        <v>965400.92958849121</v>
      </c>
      <c r="N88" s="37">
        <f t="shared" si="94"/>
        <v>1083258.6207241723</v>
      </c>
    </row>
    <row r="89" spans="1:14" x14ac:dyDescent="0.3">
      <c r="B89" s="7"/>
    </row>
    <row r="90" spans="1:14" x14ac:dyDescent="0.3">
      <c r="B90" s="7"/>
    </row>
    <row r="91" spans="1:14" x14ac:dyDescent="0.3">
      <c r="B91" s="7"/>
    </row>
    <row r="92" spans="1:14" x14ac:dyDescent="0.3">
      <c r="B92" s="7"/>
    </row>
    <row r="93" spans="1:14" x14ac:dyDescent="0.3">
      <c r="B93" s="7"/>
    </row>
    <row r="94" spans="1:14" x14ac:dyDescent="0.3">
      <c r="B94" s="7"/>
    </row>
    <row r="95" spans="1:14" x14ac:dyDescent="0.3">
      <c r="B95" s="7"/>
    </row>
    <row r="96" spans="1:14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</sheetData>
  <pageMargins left="0.7" right="0.7" top="0.75" bottom="0.75" header="0.3" footer="0.3"/>
  <pageSetup paperSize="9" orientation="portrait" r:id="rId1"/>
  <ignoredErrors>
    <ignoredError sqref="G23 C53" formula="1"/>
    <ignoredError sqref="B79:N79 D9:N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ÜVK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2026-05-29T14:49:45Z</dcterms:modified>
</cp:coreProperties>
</file>