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080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  <sheet name="Leht1" sheetId="6" r:id="rId6"/>
    <sheet name="Leht2" sheetId="7" r:id="rId7"/>
    <sheet name="Leht3" sheetId="8" r:id="rId8"/>
  </sheets>
  <definedNames>
    <definedName name="_xlnm._FilterDatabase" localSheetId="1" hidden="1">'Strateegia vorm KOV'!$A$93:$V$198</definedName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kylliki9</author>
    <author>K?lli M?ttus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E177" authorId="1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esitatud taotlus eelarvestrateegiasse lisamiseks: hoone välisfassaad ja sokkel</t>
        </r>
      </text>
    </comment>
    <comment ref="D26" authorId="2">
      <text>
        <r>
          <rPr>
            <b/>
            <sz val="11"/>
            <rFont val="Segoe UI"/>
            <family val="0"/>
          </rPr>
          <t>Külli Mõttus:</t>
        </r>
        <r>
          <rPr>
            <sz val="11"/>
            <rFont val="Segoe UI"/>
            <family val="0"/>
          </rPr>
          <t xml:space="preserve">
hajaasustus 80 000, Sooglemäe 60 000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<sst xmlns="http://schemas.openxmlformats.org/spreadsheetml/2006/main" count="1290" uniqueCount="628">
  <si>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</si>
  <si>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</si>
  <si>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</si>
  <si>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</si>
  <si>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</si>
  <si>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</si>
  <si>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</si>
  <si>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</si>
  <si>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</si>
  <si>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</si>
  <si>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</si>
  <si>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</si>
  <si>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</si>
  <si>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</si>
  <si>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</si>
  <si>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</si>
  <si>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</si>
  <si>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</si>
  <si>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</si>
  <si>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</si>
  <si>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</si>
  <si>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</si>
  <si>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</si>
  <si>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</si>
  <si>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</si>
  <si>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</si>
  <si>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</si>
  <si>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</si>
  <si>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</si>
  <si>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</si>
  <si>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</si>
  <si>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</si>
  <si>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</si>
  <si>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</si>
  <si>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</si>
  <si>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</si>
  <si>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</si>
  <si>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</si>
  <si>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</si>
  <si>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</si>
  <si>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</si>
  <si>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</si>
  <si>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</si>
  <si>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</si>
  <si>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</si>
  <si>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</si>
  <si>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</si>
  <si>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</si>
  <si>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</si>
  <si>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</si>
  <si>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</si>
  <si>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</si>
  <si>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</si>
  <si>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</si>
  <si>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</si>
  <si>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</si>
  <si>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</si>
  <si>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</si>
  <si>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</si>
  <si>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</si>
  <si>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</si>
  <si>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</si>
  <si>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</si>
  <si>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</si>
  <si>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</si>
  <si>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</si>
  <si>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</si>
  <si>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</si>
  <si>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</si>
  <si>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</si>
  <si>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</si>
  <si>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</si>
  <si>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</si>
  <si>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</si>
  <si>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</si>
  <si>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</si>
  <si>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</si>
  <si>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</si>
  <si>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</si>
  <si>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</si>
  <si>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</si>
  <si>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</si>
  <si>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</si>
  <si>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</si>
  <si>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</si>
  <si>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</si>
  <si>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</si>
  <si>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</si>
  <si>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</si>
  <si>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</si>
  <si>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</si>
  <si>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</si>
  <si>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</si>
  <si>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</si>
  <si>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</si>
  <si>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</si>
  <si>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</si>
  <si>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</si>
  <si>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</si>
  <si>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</si>
  <si>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</si>
  <si>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</si>
  <si>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</si>
  <si>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</si>
  <si>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</si>
  <si>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</si>
  <si>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</si>
  <si>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</si>
  <si>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</si>
  <si>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</si>
  <si>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</si>
  <si>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</si>
  <si>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</si>
  <si>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</si>
  <si>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</si>
  <si>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</si>
  <si>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</si>
  <si>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</si>
  <si>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</si>
  <si>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</si>
  <si>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</si>
  <si>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</si>
  <si>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</si>
  <si>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</si>
  <si>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</si>
  <si>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</si>
  <si>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</si>
  <si>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</si>
  <si>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</si>
  <si>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</si>
  <si>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</si>
  <si>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</si>
  <si>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</si>
  <si>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</si>
  <si>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</si>
  <si>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</si>
  <si>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</si>
  <si>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</si>
  <si>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</si>
  <si>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</si>
  <si>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</si>
  <si>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</si>
  <si>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</si>
  <si>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</si>
  <si>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</si>
  <si>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</si>
  <si>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</si>
  <si>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</si>
  <si>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</si>
  <si>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</si>
  <si>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</si>
  <si>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</si>
  <si>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</si>
  <si>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</si>
  <si>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</si>
  <si>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</si>
  <si>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</si>
  <si>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</si>
  <si>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</si>
  <si>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</si>
  <si>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</si>
  <si>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</si>
  <si>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</si>
  <si>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</si>
  <si>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</si>
  <si>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</si>
  <si>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</si>
  <si>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</si>
  <si>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</si>
  <si>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</si>
  <si>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</si>
  <si>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</si>
  <si>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</si>
  <si>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</si>
  <si>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</si>
  <si>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</si>
  <si>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</si>
  <si>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</si>
  <si>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</si>
  <si>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</si>
  <si>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</si>
  <si>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</si>
  <si>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</si>
  <si>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</si>
  <si>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</si>
  <si>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</si>
  <si>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</si>
  <si>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</si>
  <si>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</si>
  <si>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</si>
  <si>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</si>
  <si>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</si>
  <si>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</si>
  <si>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</si>
  <si>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</si>
  <si>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</si>
  <si>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</si>
  <si>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</si>
  <si>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</si>
  <si>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</si>
  <si>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</si>
  <si>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</si>
  <si>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</si>
  <si>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</si>
  <si>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</si>
  <si>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</si>
  <si>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</si>
  <si>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</si>
  <si>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</si>
  <si>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</si>
  <si>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</si>
  <si>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</si>
  <si>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</si>
  <si>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</si>
  <si>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</si>
  <si>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</si>
  <si>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</si>
  <si>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</si>
  <si>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</si>
  <si>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</si>
  <si>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</si>
  <si>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</si>
  <si>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</si>
  <si>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</si>
  <si>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</si>
  <si>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</si>
  <si>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</si>
  <si>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</si>
  <si>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</si>
  <si>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</si>
  <si>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</si>
  <si>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</si>
  <si>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</si>
  <si>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</si>
  <si>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</si>
  <si>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</si>
  <si>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</si>
  <si>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</si>
  <si>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</si>
  <si>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</si>
  <si>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</si>
  <si>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</si>
  <si>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</si>
  <si>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</si>
  <si>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</si>
  <si>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</si>
  <si>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</si>
  <si>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</si>
  <si>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</si>
  <si>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</si>
  <si>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</si>
  <si>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</si>
  <si>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</si>
  <si>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</si>
  <si>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</si>
  <si>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</si>
  <si>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</si>
  <si>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</si>
  <si>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</si>
  <si>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</si>
  <si>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</si>
  <si>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</si>
  <si>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</si>
  <si>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</si>
  <si>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</si>
  <si>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</si>
  <si>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</si>
  <si>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</si>
  <si>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</si>
  <si>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</si>
  <si>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</si>
  <si>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</si>
  <si>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</si>
  <si>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</si>
  <si>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</si>
  <si>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</si>
  <si>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</si>
  <si>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</si>
  <si>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</si>
  <si>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</si>
  <si>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</si>
  <si>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</si>
  <si>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</si>
  <si>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</si>
  <si>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</si>
  <si>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</si>
  <si>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</si>
  <si>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</si>
  <si>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</si>
  <si>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</si>
  <si>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</si>
  <si>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</si>
  <si>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</si>
  <si>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</si>
  <si>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</si>
  <si>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</si>
  <si>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</si>
  <si>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</si>
  <si>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</si>
  <si>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</si>
  <si>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</si>
  <si>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</si>
  <si>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</si>
  <si>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</si>
  <si>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</si>
  <si>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</si>
  <si>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</si>
  <si>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</si>
  <si>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</si>
  <si>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</si>
  <si>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</si>
  <si>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</si>
  <si>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</si>
  <si>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</si>
  <si>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</si>
  <si>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</si>
  <si>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</si>
  <si>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</si>
  <si>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</si>
  <si>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</si>
  <si>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</si>
  <si>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</si>
  <si>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</si>
  <si>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</si>
  <si>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</si>
  <si>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</si>
  <si>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</si>
  <si>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</si>
  <si>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</si>
  <si>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</si>
  <si>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</si>
  <si>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</si>
  <si>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</si>
  <si>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</si>
  <si>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</si>
  <si>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</si>
  <si>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</si>
  <si>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</si>
  <si>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</si>
  <si>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</si>
  <si>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</si>
  <si>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</si>
  <si>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</si>
  <si>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</si>
  <si>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</si>
  <si>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</si>
  <si>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</si>
  <si>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</si>
  <si>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</si>
  <si>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</si>
  <si>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</si>
  <si>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</si>
  <si>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</si>
  <si>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</si>
  <si>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</si>
  <si>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</si>
  <si>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</si>
  <si>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</si>
  <si>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</si>
  <si>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</si>
  <si>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</si>
  <si>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</si>
  <si>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</si>
  <si>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</si>
  <si>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</si>
  <si>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</si>
  <si>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</si>
  <si>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</si>
  <si>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</si>
  <si>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</si>
  <si>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</si>
  <si>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</si>
  <si>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</si>
  <si>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</si>
  <si>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</si>
  <si>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</si>
  <si>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</si>
  <si>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</si>
  <si>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</si>
  <si>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</si>
  <si>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</si>
  <si>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</si>
  <si>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</si>
  <si>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</si>
  <si>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</si>
  <si>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</si>
  <si>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</si>
  <si>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</si>
  <si>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</si>
  <si>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</si>
  <si>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</si>
  <si>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</si>
  <si>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</si>
  <si>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</si>
  <si>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</si>
  <si>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</si>
  <si>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</si>
  <si>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</si>
  <si>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</si>
  <si>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</si>
  <si>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</si>
  <si>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</si>
  <si>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</si>
  <si>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</si>
  <si>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</si>
  <si>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</si>
  <si>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</si>
  <si>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</si>
  <si>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</si>
  <si>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</si>
  <si>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</si>
  <si>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</si>
  <si>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</si>
  <si>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</si>
  <si>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</si>
  <si>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</si>
  <si>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</si>
  <si>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</si>
  <si>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</si>
  <si>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</si>
  <si>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</si>
  <si>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</si>
  <si>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</si>
  <si>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</si>
  <si>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</si>
  <si>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</si>
  <si>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</si>
  <si>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</si>
  <si>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</si>
  <si>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</si>
  <si>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</si>
  <si>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</si>
  <si>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</si>
  <si>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Omavalitsuse nimi ning määruse nr ja kuupäev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</si>
  <si>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</si>
  <si>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</si>
  <si>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</si>
  <si>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</si>
  <si>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</si>
  <si>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</si>
  <si>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</si>
  <si>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</si>
  <si>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</si>
  <si>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</si>
  <si>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</si>
  <si>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</si>
  <si>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</si>
  <si>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</si>
  <si>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</si>
  <si>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</si>
  <si>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</si>
  <si>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</si>
  <si>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</si>
  <si>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</si>
  <si>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</si>
  <si>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</si>
  <si>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</si>
  <si>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2018 ja 2019 täituvad automaatselt eelarvearuande lehelt!!!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</si>
  <si>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</si>
  <si>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</si>
  <si>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</si>
  <si>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</si>
  <si>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</si>
  <si>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</si>
  <si>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</si>
  <si>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</si>
  <si>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</si>
  <si>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</si>
  <si>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</si>
  <si>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</si>
  <si>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 2019. tekkepõhine täitmine</t>
  </si>
  <si>
    <t>2020 .a eeldatav täitmine</t>
  </si>
  <si>
    <t>1:1 kopeeritav 2019 e/a aruandest</t>
  </si>
  <si>
    <t>2019 täitmine</t>
  </si>
  <si>
    <t>2020 eeldatav täitmine</t>
  </si>
  <si>
    <t xml:space="preserve">2024 eelarve  </t>
  </si>
  <si>
    <t>Lisatud 2 alarida</t>
  </si>
  <si>
    <t xml:space="preserve">2020. ja 2021. a kas 10-kordne põhitegevuse tulem või 80% põhitegevuse tuludest, kumb on suurem, kuid mitte rohkem kui 100%. </t>
  </si>
  <si>
    <t>Nimi Mõisaküla Hoolekandekeskuse ehitamine</t>
  </si>
  <si>
    <t>Karksi Teede remont</t>
  </si>
  <si>
    <t>Polli Hooldekodu renoveerimine</t>
  </si>
  <si>
    <t xml:space="preserve">Halliste piirkonna teed </t>
  </si>
  <si>
    <t xml:space="preserve">Annatare rekonstrueerimine </t>
  </si>
  <si>
    <t>Õisu tänavavalgustus</t>
  </si>
  <si>
    <t>Halliste kooli ja Kaarli RM kapitaalremont</t>
  </si>
  <si>
    <t xml:space="preserve">Mõisaküla linnatänavate mustkatete alla viimine </t>
  </si>
  <si>
    <t xml:space="preserve">Abja  teed </t>
  </si>
  <si>
    <t xml:space="preserve">Abja Gümnaasiumi soetused </t>
  </si>
  <si>
    <t>Jäätmejaama ehitus</t>
  </si>
  <si>
    <t>Nimi Abja Lasteaia soojustamine+ lisarühma avamine</t>
  </si>
  <si>
    <t>Rahumäe 2a küttesüsteemi renoveerimine+ eakate ruumid</t>
  </si>
  <si>
    <t>Maa soetus</t>
  </si>
  <si>
    <t>Planeeringud</t>
  </si>
  <si>
    <t>Avalikud alad Abja piirkond</t>
  </si>
  <si>
    <t>Muu Keskkonnakaitse (Ordulinnuse varemed)</t>
  </si>
  <si>
    <t>Abja tänavavalgustus</t>
  </si>
  <si>
    <t>Karksi-Nuia sots korteritega elumaja</t>
  </si>
  <si>
    <t>Abja saun</t>
  </si>
  <si>
    <t>Mõisaküla saun</t>
  </si>
  <si>
    <t>Abja elamumajandus</t>
  </si>
  <si>
    <t>Karksi-Nuia Perearstikeskuse ruumide renoveerimine</t>
  </si>
  <si>
    <t>Abja ujula</t>
  </si>
  <si>
    <t>Mängudeväljakud Abjas ja Hallistes</t>
  </si>
  <si>
    <t>Karksi-Nuia Lasteaed</t>
  </si>
  <si>
    <t>Mõisaküla Noortekeskus</t>
  </si>
  <si>
    <t>A.Kitzbergi nimeline Gümnaasium</t>
  </si>
  <si>
    <t>kliimaprogramm, kui tuleb rahastusotsus</t>
  </si>
  <si>
    <t xml:space="preserve">taolus </t>
  </si>
  <si>
    <t>Mulgi valla teed (teehoiukava alusel)</t>
  </si>
  <si>
    <t>Abja Muuseum (Postimaja)</t>
  </si>
  <si>
    <t>MATA 2020 lepingud</t>
  </si>
  <si>
    <t>Osaühing Abja Elamu OÜ</t>
  </si>
  <si>
    <t>Halliste Põhikool</t>
  </si>
  <si>
    <t>Kinnisvarainvesteeringud</t>
  </si>
  <si>
    <t>lisatud 150000 sisseseade, mööbli ja kommunikatsioonide arvel</t>
  </si>
  <si>
    <t>lisatud sööklakompleksi renoveerimise kulud 50000</t>
  </si>
  <si>
    <t>Mõisaküla Lasteaed (uue rühma mööbel)</t>
  </si>
  <si>
    <t>Laenugraafik</t>
  </si>
  <si>
    <t>Kuupäev</t>
  </si>
  <si>
    <t>Jääk</t>
  </si>
  <si>
    <t>Makse</t>
  </si>
  <si>
    <t>Intress</t>
  </si>
  <si>
    <t>Kokku</t>
  </si>
  <si>
    <t>Algjääk</t>
  </si>
  <si>
    <t>Põhiosa</t>
  </si>
  <si>
    <t>Intressisumma</t>
  </si>
  <si>
    <t>Kuumakse</t>
  </si>
  <si>
    <t>331 300.00</t>
  </si>
  <si>
    <t>6 761.23</t>
  </si>
  <si>
    <t>7 087.03</t>
  </si>
  <si>
    <t>324 538.77</t>
  </si>
  <si>
    <t>7 091.07</t>
  </si>
  <si>
    <t>317 777.54</t>
  </si>
  <si>
    <t>7 084.25</t>
  </si>
  <si>
    <t>311 016.31</t>
  </si>
  <si>
    <t>7 046.55</t>
  </si>
  <si>
    <t>304 255.08</t>
  </si>
  <si>
    <t>7 070.30</t>
  </si>
  <si>
    <t>297 493.85</t>
  </si>
  <si>
    <t>7 053.73</t>
  </si>
  <si>
    <t>290 732.62</t>
  </si>
  <si>
    <t>7 056.66</t>
  </si>
  <si>
    <t>283 971.39</t>
  </si>
  <si>
    <t>7 040.53</t>
  </si>
  <si>
    <t>277 210.16</t>
  </si>
  <si>
    <t>7 043.02</t>
  </si>
  <si>
    <t>270 448.93</t>
  </si>
  <si>
    <t>7 035.89</t>
  </si>
  <si>
    <t>263 687.70</t>
  </si>
  <si>
    <t>7 020.43</t>
  </si>
  <si>
    <t>256 926.47</t>
  </si>
  <si>
    <t>7 022.25</t>
  </si>
  <si>
    <t>250 165.24</t>
  </si>
  <si>
    <t>7 007.23</t>
  </si>
  <si>
    <t>243 404.01</t>
  </si>
  <si>
    <t>7 008.61</t>
  </si>
  <si>
    <t>236 642.78</t>
  </si>
  <si>
    <t>7 001.79</t>
  </si>
  <si>
    <t>229 881.55</t>
  </si>
  <si>
    <t>6 972.35</t>
  </si>
  <si>
    <t>223 120.32</t>
  </si>
  <si>
    <t>6 987.84</t>
  </si>
  <si>
    <t>216 359.09</t>
  </si>
  <si>
    <t>6 973.93</t>
  </si>
  <si>
    <t>209 597.86</t>
  </si>
  <si>
    <t>6 974.20</t>
  </si>
  <si>
    <t>202 836.63</t>
  </si>
  <si>
    <t>6 960.73</t>
  </si>
  <si>
    <t>196 075.40</t>
  </si>
  <si>
    <t>6 960.56</t>
  </si>
  <si>
    <t>189 314.17</t>
  </si>
  <si>
    <t>6 953.74</t>
  </si>
  <si>
    <t>182 552.94</t>
  </si>
  <si>
    <t>6 940.63</t>
  </si>
  <si>
    <t>175 791.71</t>
  </si>
  <si>
    <t>6 939.79</t>
  </si>
  <si>
    <t>169 030.48</t>
  </si>
  <si>
    <t>6 927.43</t>
  </si>
  <si>
    <t>162 269.25</t>
  </si>
  <si>
    <t>6 926.15</t>
  </si>
  <si>
    <t>155 508.02</t>
  </si>
  <si>
    <t>6 919.33</t>
  </si>
  <si>
    <t>148 746.79</t>
  </si>
  <si>
    <t>6 897.87</t>
  </si>
  <si>
    <t>141 985.56</t>
  </si>
  <si>
    <t>6 905.38</t>
  </si>
  <si>
    <t>135 224.33</t>
  </si>
  <si>
    <t>6 894.13</t>
  </si>
  <si>
    <t>128 463.10</t>
  </si>
  <si>
    <t>6 891.74</t>
  </si>
  <si>
    <t>121 701.87</t>
  </si>
  <si>
    <t>6 880.93</t>
  </si>
  <si>
    <t>114 940.64</t>
  </si>
  <si>
    <t>6 878.10</t>
  </si>
  <si>
    <t>108 179.41</t>
  </si>
  <si>
    <t>6 871.28</t>
  </si>
  <si>
    <t>101 418.18</t>
  </si>
  <si>
    <t>6 860.83</t>
  </si>
  <si>
    <t>94 656.95</t>
  </si>
  <si>
    <t>6 857.33</t>
  </si>
  <si>
    <t>87 895.72</t>
  </si>
  <si>
    <t>6 847.63</t>
  </si>
  <si>
    <t>81 134.49</t>
  </si>
  <si>
    <t>6 843.69</t>
  </si>
  <si>
    <t>74 373.26</t>
  </si>
  <si>
    <t>6 836.87</t>
  </si>
  <si>
    <t>67 612.03</t>
  </si>
  <si>
    <t>6 825.61</t>
  </si>
  <si>
    <t>60 850.80</t>
  </si>
  <si>
    <t>6 822.92</t>
  </si>
  <si>
    <t>54 089.57</t>
  </si>
  <si>
    <t>6 814.33</t>
  </si>
  <si>
    <t>47 328.34</t>
  </si>
  <si>
    <t>6 809.28</t>
  </si>
  <si>
    <t>40 567.11</t>
  </si>
  <si>
    <t>6 801.13</t>
  </si>
  <si>
    <t>33 805.88</t>
  </si>
  <si>
    <t>6 795.64</t>
  </si>
  <si>
    <t>27 044.65</t>
  </si>
  <si>
    <t>6 788.82</t>
  </si>
  <si>
    <t>20 283.42</t>
  </si>
  <si>
    <t>6 781.03</t>
  </si>
  <si>
    <t>13 522.19</t>
  </si>
  <si>
    <t>6 774.87</t>
  </si>
  <si>
    <t>6 760.96</t>
  </si>
  <si>
    <t>6 767.56</t>
  </si>
  <si>
    <t>MATA 2021 taotletavate projektide omaosalus, Taotletav toetussumma  250000+ omaosalus 83333</t>
  </si>
  <si>
    <t xml:space="preserve">Vallavalitsuse investeeringud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</si>
</sst>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</numFmts>
  <fonts count="9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name val="Segoe UI"/>
      <family val="0"/>
    </font>
    <font>
      <b/>
      <sz val="11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  <font>
      <sz val="11"/>
      <color rgb="FF512B2B"/>
      <name val="Arial"/>
      <family val="2"/>
    </font>
    <font>
      <b/>
      <sz val="11"/>
      <color rgb="FF512B2B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9F7FB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EBE7E2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23" borderId="3" applyNumberFormat="0" applyAlignment="0" applyProtection="0"/>
    <xf numFmtId="0" fontId="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0" fillId="24" borderId="5" applyNumberFormat="0" applyFont="0" applyAlignment="0" applyProtection="0"/>
    <xf numFmtId="0" fontId="7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20" borderId="9" applyNumberFormat="0" applyAlignment="0" applyProtection="0"/>
    <xf numFmtId="0" fontId="84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49" fontId="10" fillId="0" borderId="0" xfId="47" applyNumberFormat="1" applyFont="1" applyBorder="1">
      <alignment/>
      <protection/>
    </xf>
    <xf numFmtId="0" fontId="11" fillId="0" borderId="0" xfId="49" applyFont="1" applyBorder="1">
      <alignment/>
      <protection/>
    </xf>
    <xf numFmtId="4" fontId="12" fillId="0" borderId="22" xfId="49" applyNumberFormat="1" applyFont="1" applyFill="1" applyBorder="1" applyAlignment="1" applyProtection="1">
      <alignment wrapText="1"/>
      <protection locked="0"/>
    </xf>
    <xf numFmtId="0" fontId="13" fillId="0" borderId="23" xfId="49" applyFont="1" applyBorder="1">
      <alignment/>
      <protection/>
    </xf>
    <xf numFmtId="0" fontId="14" fillId="0" borderId="24" xfId="47" applyFont="1" applyBorder="1">
      <alignment/>
      <protection/>
    </xf>
    <xf numFmtId="0" fontId="13" fillId="0" borderId="23" xfId="49" applyFont="1" applyFill="1" applyBorder="1">
      <alignment/>
      <protection/>
    </xf>
    <xf numFmtId="0" fontId="14" fillId="0" borderId="24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1" fillId="0" borderId="24" xfId="4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9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9" applyFont="1" applyFill="1" applyBorder="1">
      <alignment/>
      <protection/>
    </xf>
    <xf numFmtId="0" fontId="0" fillId="0" borderId="16" xfId="4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9" applyFont="1" applyBorder="1">
      <alignment/>
      <protection/>
    </xf>
    <xf numFmtId="0" fontId="13" fillId="0" borderId="0" xfId="49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9" applyFont="1" applyFill="1" applyBorder="1" applyProtection="1">
      <alignment/>
      <protection locked="0"/>
    </xf>
    <xf numFmtId="0" fontId="3" fillId="0" borderId="27" xfId="49" applyFont="1" applyFill="1" applyBorder="1" applyProtection="1">
      <alignment/>
      <protection locked="0"/>
    </xf>
    <xf numFmtId="0" fontId="3" fillId="0" borderId="24" xfId="49" applyFont="1" applyFill="1" applyBorder="1" applyProtection="1">
      <alignment/>
      <protection locked="0"/>
    </xf>
    <xf numFmtId="0" fontId="3" fillId="0" borderId="23" xfId="49" applyFont="1" applyFill="1" applyBorder="1" applyProtection="1">
      <alignment/>
      <protection locked="0"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24" xfId="49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3" fillId="0" borderId="27" xfId="49" applyFont="1" applyFill="1" applyBorder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23" xfId="47" applyFont="1" applyBorder="1">
      <alignment/>
      <protection/>
    </xf>
    <xf numFmtId="0" fontId="3" fillId="35" borderId="23" xfId="47" applyFont="1" applyFill="1" applyBorder="1">
      <alignment/>
      <protection/>
    </xf>
    <xf numFmtId="188" fontId="3" fillId="0" borderId="27" xfId="49" applyNumberFormat="1" applyFont="1" applyFill="1" applyBorder="1">
      <alignment/>
      <protection/>
    </xf>
    <xf numFmtId="0" fontId="3" fillId="0" borderId="24" xfId="49" applyFont="1" applyBorder="1">
      <alignment/>
      <protection/>
    </xf>
    <xf numFmtId="188" fontId="3" fillId="0" borderId="24" xfId="49" applyNumberFormat="1" applyFont="1" applyFill="1" applyBorder="1">
      <alignment/>
      <protection/>
    </xf>
    <xf numFmtId="49" fontId="3" fillId="0" borderId="0" xfId="47" applyNumberFormat="1" applyFont="1" applyBorder="1">
      <alignment/>
      <protection/>
    </xf>
    <xf numFmtId="0" fontId="3" fillId="0" borderId="0" xfId="47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9" applyFont="1" applyFill="1" applyBorder="1" applyAlignment="1" applyProtection="1">
      <alignment horizontal="left"/>
      <protection locked="0"/>
    </xf>
    <xf numFmtId="0" fontId="3" fillId="0" borderId="24" xfId="49" applyFont="1" applyFill="1" applyBorder="1" applyAlignment="1" applyProtection="1">
      <alignment horizontal="left"/>
      <protection locked="0"/>
    </xf>
    <xf numFmtId="0" fontId="3" fillId="0" borderId="30" xfId="47" applyFont="1" applyBorder="1" applyAlignment="1">
      <alignment horizontal="left"/>
      <protection/>
    </xf>
    <xf numFmtId="0" fontId="3" fillId="0" borderId="27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0" fontId="3" fillId="0" borderId="31" xfId="47" applyFont="1" applyBorder="1" applyAlignment="1">
      <alignment horizontal="left"/>
      <protection/>
    </xf>
    <xf numFmtId="0" fontId="3" fillId="0" borderId="24" xfId="49" applyFont="1" applyFill="1" applyBorder="1" applyAlignment="1">
      <alignment horizontal="left"/>
      <protection/>
    </xf>
    <xf numFmtId="0" fontId="3" fillId="0" borderId="12" xfId="47" applyFont="1" applyBorder="1" applyAlignment="1">
      <alignment horizontal="left"/>
      <protection/>
    </xf>
    <xf numFmtId="0" fontId="11" fillId="0" borderId="24" xfId="49" applyFont="1" applyFill="1" applyBorder="1" applyAlignment="1">
      <alignment horizontal="left"/>
      <protection/>
    </xf>
    <xf numFmtId="49" fontId="3" fillId="0" borderId="27" xfId="49" applyNumberFormat="1" applyFont="1" applyFill="1" applyBorder="1" applyAlignment="1">
      <alignment horizontal="left"/>
      <protection/>
    </xf>
    <xf numFmtId="49" fontId="3" fillId="0" borderId="24" xfId="49" applyNumberFormat="1" applyFont="1" applyFill="1" applyBorder="1" applyAlignment="1">
      <alignment horizontal="left"/>
      <protection/>
    </xf>
    <xf numFmtId="49" fontId="13" fillId="0" borderId="30" xfId="48" applyNumberFormat="1" applyFont="1" applyFill="1" applyBorder="1" applyAlignment="1">
      <alignment horizontal="left"/>
      <protection/>
    </xf>
    <xf numFmtId="49" fontId="3" fillId="0" borderId="12" xfId="48" applyNumberFormat="1" applyFont="1" applyFill="1" applyBorder="1" applyAlignment="1">
      <alignment horizontal="left"/>
      <protection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49" fontId="3" fillId="0" borderId="31" xfId="48" applyNumberFormat="1" applyFont="1" applyFill="1" applyBorder="1" applyAlignment="1">
      <alignment horizontal="left"/>
      <protection/>
    </xf>
    <xf numFmtId="0" fontId="3" fillId="35" borderId="30" xfId="47" applyFont="1" applyFill="1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23" xfId="49" applyFont="1" applyFill="1" applyBorder="1" applyAlignment="1" applyProtection="1">
      <alignment horizontal="left"/>
      <protection locked="0"/>
    </xf>
    <xf numFmtId="0" fontId="13" fillId="0" borderId="23" xfId="49" applyFont="1" applyFill="1" applyBorder="1" applyAlignment="1">
      <alignment horizontal="left"/>
      <protection/>
    </xf>
    <xf numFmtId="0" fontId="11" fillId="0" borderId="0" xfId="49" applyFont="1" applyFill="1" applyBorder="1" applyAlignment="1">
      <alignment horizontal="left"/>
      <protection/>
    </xf>
    <xf numFmtId="0" fontId="3" fillId="35" borderId="23" xfId="49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9" applyFont="1" applyFill="1" applyBorder="1" applyAlignment="1">
      <alignment horizontal="left"/>
      <protection/>
    </xf>
    <xf numFmtId="0" fontId="13" fillId="37" borderId="27" xfId="49" applyFont="1" applyFill="1" applyBorder="1">
      <alignment/>
      <protection/>
    </xf>
    <xf numFmtId="0" fontId="13" fillId="37" borderId="24" xfId="49" applyFont="1" applyFill="1" applyBorder="1" applyAlignment="1">
      <alignment horizontal="left"/>
      <protection/>
    </xf>
    <xf numFmtId="0" fontId="13" fillId="37" borderId="24" xfId="49" applyFont="1" applyFill="1" applyBorder="1">
      <alignment/>
      <protection/>
    </xf>
    <xf numFmtId="0" fontId="13" fillId="37" borderId="23" xfId="47" applyFont="1" applyFill="1" applyBorder="1" applyAlignment="1">
      <alignment horizontal="left"/>
      <protection/>
    </xf>
    <xf numFmtId="0" fontId="3" fillId="37" borderId="23" xfId="47" applyFont="1" applyFill="1" applyBorder="1">
      <alignment/>
      <protection/>
    </xf>
    <xf numFmtId="0" fontId="3" fillId="37" borderId="23" xfId="49" applyFont="1" applyFill="1" applyBorder="1">
      <alignment/>
      <protection/>
    </xf>
    <xf numFmtId="0" fontId="13" fillId="0" borderId="0" xfId="47" applyFont="1">
      <alignment/>
      <protection/>
    </xf>
    <xf numFmtId="4" fontId="3" fillId="0" borderId="0" xfId="47" applyNumberFormat="1" applyFont="1">
      <alignment/>
      <protection/>
    </xf>
    <xf numFmtId="0" fontId="13" fillId="0" borderId="0" xfId="47" applyFont="1" applyFill="1" applyBorder="1" applyAlignment="1">
      <alignment horizontal="left"/>
      <protection/>
    </xf>
    <xf numFmtId="0" fontId="13" fillId="38" borderId="24" xfId="47" applyFont="1" applyFill="1" applyBorder="1" applyAlignment="1">
      <alignment horizontal="left"/>
      <protection/>
    </xf>
    <xf numFmtId="0" fontId="3" fillId="38" borderId="24" xfId="47" applyFont="1" applyFill="1" applyBorder="1">
      <alignment/>
      <protection/>
    </xf>
    <xf numFmtId="0" fontId="13" fillId="38" borderId="23" xfId="49" applyFont="1" applyFill="1" applyBorder="1" applyAlignment="1">
      <alignment horizontal="left"/>
      <protection/>
    </xf>
    <xf numFmtId="0" fontId="3" fillId="38" borderId="23" xfId="49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7" applyFont="1" applyFill="1" applyProtection="1">
      <alignment/>
      <protection locked="0"/>
    </xf>
    <xf numFmtId="0" fontId="13" fillId="34" borderId="24" xfId="47" applyFont="1" applyFill="1" applyBorder="1" applyAlignment="1">
      <alignment horizontal="left"/>
      <protection/>
    </xf>
    <xf numFmtId="0" fontId="13" fillId="34" borderId="23" xfId="49" applyFont="1" applyFill="1" applyBorder="1">
      <alignment/>
      <protection/>
    </xf>
    <xf numFmtId="0" fontId="13" fillId="34" borderId="23" xfId="49" applyFont="1" applyFill="1" applyBorder="1" applyAlignment="1">
      <alignment horizontal="left"/>
      <protection/>
    </xf>
    <xf numFmtId="0" fontId="13" fillId="34" borderId="24" xfId="49" applyFont="1" applyFill="1" applyBorder="1" applyAlignment="1">
      <alignment horizontal="left"/>
      <protection/>
    </xf>
    <xf numFmtId="0" fontId="13" fillId="34" borderId="24" xfId="49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ont="1" applyFill="1" applyBorder="1" applyAlignment="1">
      <alignment/>
      <protection/>
    </xf>
    <xf numFmtId="0" fontId="3" fillId="34" borderId="0" xfId="47" applyFont="1" applyFill="1" applyBorder="1" applyAlignment="1">
      <alignment horizontal="left"/>
      <protection/>
    </xf>
    <xf numFmtId="0" fontId="3" fillId="34" borderId="24" xfId="49" applyFont="1" applyFill="1" applyBorder="1">
      <alignment/>
      <protection/>
    </xf>
    <xf numFmtId="0" fontId="3" fillId="34" borderId="0" xfId="49" applyFont="1" applyFill="1" applyBorder="1" applyAlignment="1">
      <alignment horizontal="left"/>
      <protection/>
    </xf>
    <xf numFmtId="0" fontId="3" fillId="34" borderId="24" xfId="49" applyFont="1" applyFill="1" applyBorder="1" applyAlignment="1">
      <alignment horizontal="left"/>
      <protection/>
    </xf>
    <xf numFmtId="0" fontId="3" fillId="0" borderId="0" xfId="47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9" applyNumberFormat="1" applyFont="1" applyFill="1" applyBorder="1" applyAlignment="1" applyProtection="1">
      <alignment horizontal="right" wrapText="1"/>
      <protection locked="0"/>
    </xf>
    <xf numFmtId="4" fontId="6" fillId="0" borderId="40" xfId="48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7" applyFont="1">
      <alignment/>
      <protection/>
    </xf>
    <xf numFmtId="0" fontId="22" fillId="0" borderId="0" xfId="49" applyFont="1" applyFill="1" applyBorder="1" applyAlignment="1" applyProtection="1">
      <alignment horizontal="left"/>
      <protection locked="0"/>
    </xf>
    <xf numFmtId="0" fontId="16" fillId="0" borderId="42" xfId="49" applyFont="1" applyFill="1" applyBorder="1" applyAlignment="1" applyProtection="1">
      <alignment horizontal="left"/>
      <protection locked="0"/>
    </xf>
    <xf numFmtId="0" fontId="16" fillId="0" borderId="31" xfId="49" applyFont="1" applyFill="1" applyBorder="1" applyAlignment="1" applyProtection="1">
      <alignment horizontal="left"/>
      <protection locked="0"/>
    </xf>
    <xf numFmtId="0" fontId="16" fillId="0" borderId="30" xfId="47" applyFont="1" applyBorder="1" applyAlignment="1">
      <alignment horizontal="left"/>
      <protection/>
    </xf>
    <xf numFmtId="0" fontId="16" fillId="0" borderId="42" xfId="49" applyFont="1" applyFill="1" applyBorder="1" applyAlignment="1">
      <alignment horizontal="left"/>
      <protection/>
    </xf>
    <xf numFmtId="0" fontId="16" fillId="0" borderId="12" xfId="49" applyFont="1" applyFill="1" applyBorder="1" applyAlignment="1">
      <alignment horizontal="left"/>
      <protection/>
    </xf>
    <xf numFmtId="0" fontId="16" fillId="0" borderId="31" xfId="49" applyFont="1" applyFill="1" applyBorder="1" applyAlignment="1">
      <alignment horizontal="left"/>
      <protection/>
    </xf>
    <xf numFmtId="0" fontId="16" fillId="0" borderId="31" xfId="47" applyFont="1" applyBorder="1" applyAlignment="1">
      <alignment horizontal="left"/>
      <protection/>
    </xf>
    <xf numFmtId="0" fontId="16" fillId="0" borderId="12" xfId="47" applyFont="1" applyBorder="1" applyAlignment="1">
      <alignment horizontal="left"/>
      <protection/>
    </xf>
    <xf numFmtId="0" fontId="16" fillId="0" borderId="30" xfId="49" applyFont="1" applyFill="1" applyBorder="1" applyAlignment="1">
      <alignment horizontal="left"/>
      <protection/>
    </xf>
    <xf numFmtId="0" fontId="9" fillId="0" borderId="31" xfId="49" applyFont="1" applyFill="1" applyBorder="1" applyAlignment="1">
      <alignment horizontal="left"/>
      <protection/>
    </xf>
    <xf numFmtId="0" fontId="16" fillId="0" borderId="12" xfId="47" applyFont="1" applyFill="1" applyBorder="1" applyAlignment="1">
      <alignment horizontal="left"/>
      <protection/>
    </xf>
    <xf numFmtId="49" fontId="16" fillId="0" borderId="42" xfId="49" applyNumberFormat="1" applyFont="1" applyFill="1" applyBorder="1" applyAlignment="1">
      <alignment horizontal="left"/>
      <protection/>
    </xf>
    <xf numFmtId="49" fontId="16" fillId="0" borderId="31" xfId="49" applyNumberFormat="1" applyFont="1" applyFill="1" applyBorder="1" applyAlignment="1">
      <alignment horizontal="left"/>
      <protection/>
    </xf>
    <xf numFmtId="4" fontId="21" fillId="0" borderId="43" xfId="49" applyNumberFormat="1" applyFont="1" applyFill="1" applyBorder="1" applyAlignment="1" applyProtection="1">
      <alignment/>
      <protection/>
    </xf>
    <xf numFmtId="4" fontId="21" fillId="0" borderId="44" xfId="49" applyNumberFormat="1" applyFont="1" applyFill="1" applyBorder="1" applyAlignment="1" applyProtection="1">
      <alignment/>
      <protection/>
    </xf>
    <xf numFmtId="4" fontId="21" fillId="0" borderId="22" xfId="49" applyNumberFormat="1" applyFont="1" applyFill="1" applyBorder="1" applyAlignment="1" applyProtection="1">
      <alignment/>
      <protection/>
    </xf>
    <xf numFmtId="4" fontId="6" fillId="0" borderId="33" xfId="49" applyNumberFormat="1" applyFont="1" applyFill="1" applyBorder="1" applyAlignment="1" applyProtection="1">
      <alignment/>
      <protection locked="0"/>
    </xf>
    <xf numFmtId="4" fontId="21" fillId="0" borderId="39" xfId="49" applyNumberFormat="1" applyFont="1" applyFill="1" applyBorder="1" applyAlignment="1" applyProtection="1">
      <alignment/>
      <protection/>
    </xf>
    <xf numFmtId="4" fontId="6" fillId="0" borderId="45" xfId="49" applyNumberFormat="1" applyFont="1" applyFill="1" applyBorder="1" applyAlignment="1" applyProtection="1">
      <alignment/>
      <protection/>
    </xf>
    <xf numFmtId="4" fontId="6" fillId="0" borderId="46" xfId="49" applyNumberFormat="1" applyFont="1" applyFill="1" applyBorder="1" applyAlignment="1" applyProtection="1">
      <alignment/>
      <protection locked="0"/>
    </xf>
    <xf numFmtId="4" fontId="6" fillId="0" borderId="47" xfId="49" applyNumberFormat="1" applyFont="1" applyFill="1" applyBorder="1" applyAlignment="1" applyProtection="1">
      <alignment/>
      <protection/>
    </xf>
    <xf numFmtId="4" fontId="6" fillId="0" borderId="48" xfId="49" applyNumberFormat="1" applyFont="1" applyFill="1" applyBorder="1" applyAlignment="1" applyProtection="1">
      <alignment/>
      <protection/>
    </xf>
    <xf numFmtId="4" fontId="21" fillId="0" borderId="49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 locked="0"/>
    </xf>
    <xf numFmtId="4" fontId="6" fillId="0" borderId="33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/>
    </xf>
    <xf numFmtId="4" fontId="6" fillId="0" borderId="50" xfId="49" applyNumberFormat="1" applyFont="1" applyFill="1" applyBorder="1" applyAlignment="1" applyProtection="1">
      <alignment/>
      <protection/>
    </xf>
    <xf numFmtId="4" fontId="2" fillId="0" borderId="48" xfId="47" applyNumberFormat="1" applyFont="1" applyFill="1" applyBorder="1">
      <alignment/>
      <protection/>
    </xf>
    <xf numFmtId="4" fontId="2" fillId="0" borderId="51" xfId="47" applyNumberFormat="1" applyFont="1" applyBorder="1">
      <alignment/>
      <protection/>
    </xf>
    <xf numFmtId="49" fontId="16" fillId="0" borderId="12" xfId="49" applyNumberFormat="1" applyFont="1" applyFill="1" applyBorder="1" applyAlignment="1">
      <alignment horizontal="left"/>
      <protection/>
    </xf>
    <xf numFmtId="4" fontId="2" fillId="0" borderId="33" xfId="47" applyNumberFormat="1" applyFont="1" applyBorder="1">
      <alignment/>
      <protection/>
    </xf>
    <xf numFmtId="4" fontId="6" fillId="0" borderId="49" xfId="49" applyNumberFormat="1" applyFont="1" applyFill="1" applyBorder="1" applyAlignment="1" applyProtection="1">
      <alignment/>
      <protection locked="0"/>
    </xf>
    <xf numFmtId="4" fontId="2" fillId="0" borderId="44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4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2" fillId="0" borderId="49" xfId="47" applyNumberFormat="1" applyFont="1" applyBorder="1">
      <alignment/>
      <protection/>
    </xf>
    <xf numFmtId="4" fontId="2" fillId="0" borderId="49" xfId="47" applyNumberFormat="1" applyFont="1" applyFill="1" applyBorder="1">
      <alignment/>
      <protection/>
    </xf>
    <xf numFmtId="4" fontId="6" fillId="0" borderId="51" xfId="47" applyNumberFormat="1" applyFont="1" applyBorder="1" applyAlignment="1" applyProtection="1">
      <alignment/>
      <protection/>
    </xf>
    <xf numFmtId="4" fontId="6" fillId="0" borderId="46" xfId="47" applyNumberFormat="1" applyFont="1" applyBorder="1" applyAlignment="1" applyProtection="1">
      <alignment/>
      <protection locked="0"/>
    </xf>
    <xf numFmtId="4" fontId="6" fillId="0" borderId="46" xfId="47" applyNumberFormat="1" applyFont="1" applyBorder="1" applyAlignment="1" applyProtection="1">
      <alignment/>
      <protection/>
    </xf>
    <xf numFmtId="4" fontId="6" fillId="0" borderId="48" xfId="47" applyNumberFormat="1" applyFont="1" applyBorder="1" applyProtection="1">
      <alignment/>
      <protection locked="0"/>
    </xf>
    <xf numFmtId="4" fontId="21" fillId="0" borderId="51" xfId="49" applyNumberFormat="1" applyFont="1" applyFill="1" applyBorder="1" applyAlignment="1" applyProtection="1" quotePrefix="1">
      <alignment/>
      <protection locked="0"/>
    </xf>
    <xf numFmtId="4" fontId="2" fillId="0" borderId="46" xfId="47" applyNumberFormat="1" applyFont="1" applyBorder="1" applyAlignment="1" applyProtection="1">
      <alignment/>
      <protection/>
    </xf>
    <xf numFmtId="4" fontId="6" fillId="0" borderId="46" xfId="47" applyNumberFormat="1" applyFont="1" applyBorder="1" applyProtection="1">
      <alignment/>
      <protection locked="0"/>
    </xf>
    <xf numFmtId="4" fontId="6" fillId="35" borderId="44" xfId="47" applyNumberFormat="1" applyFont="1" applyFill="1" applyBorder="1" applyAlignment="1" applyProtection="1">
      <alignment/>
      <protection locked="0"/>
    </xf>
    <xf numFmtId="4" fontId="6" fillId="0" borderId="52" xfId="49" applyNumberFormat="1" applyFont="1" applyFill="1" applyBorder="1" applyProtection="1">
      <alignment/>
      <protection/>
    </xf>
    <xf numFmtId="14" fontId="2" fillId="0" borderId="0" xfId="47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 locked="0"/>
    </xf>
    <xf numFmtId="4" fontId="6" fillId="0" borderId="40" xfId="49" applyNumberFormat="1" applyFont="1" applyFill="1" applyBorder="1" applyAlignment="1" applyProtection="1">
      <alignment/>
      <protection/>
    </xf>
    <xf numFmtId="4" fontId="6" fillId="0" borderId="54" xfId="49" applyNumberFormat="1" applyFont="1" applyFill="1" applyBorder="1" applyAlignment="1" applyProtection="1">
      <alignment/>
      <protection/>
    </xf>
    <xf numFmtId="4" fontId="21" fillId="0" borderId="54" xfId="49" applyNumberFormat="1" applyFont="1" applyFill="1" applyBorder="1" applyAlignment="1" applyProtection="1">
      <alignment/>
      <protection/>
    </xf>
    <xf numFmtId="4" fontId="6" fillId="0" borderId="53" xfId="49" applyNumberFormat="1" applyFont="1" applyFill="1" applyBorder="1" applyProtection="1">
      <alignment/>
      <protection locked="0"/>
    </xf>
    <xf numFmtId="3" fontId="21" fillId="0" borderId="39" xfId="49" applyNumberFormat="1" applyFont="1" applyFill="1" applyBorder="1" applyAlignment="1" applyProtection="1">
      <alignment/>
      <protection/>
    </xf>
    <xf numFmtId="4" fontId="6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/>
    </xf>
    <xf numFmtId="4" fontId="21" fillId="0" borderId="40" xfId="49" applyNumberFormat="1" applyFont="1" applyFill="1" applyBorder="1" applyProtection="1">
      <alignment/>
      <protection/>
    </xf>
    <xf numFmtId="4" fontId="6" fillId="0" borderId="40" xfId="47" applyNumberFormat="1" applyFont="1" applyBorder="1" applyProtection="1">
      <alignment/>
      <protection/>
    </xf>
    <xf numFmtId="4" fontId="6" fillId="0" borderId="54" xfId="49" applyNumberFormat="1" applyFont="1" applyFill="1" applyBorder="1" applyProtection="1">
      <alignment/>
      <protection locked="0"/>
    </xf>
    <xf numFmtId="4" fontId="6" fillId="0" borderId="53" xfId="47" applyNumberFormat="1" applyFont="1" applyFill="1" applyBorder="1" applyProtection="1">
      <alignment/>
      <protection locked="0"/>
    </xf>
    <xf numFmtId="4" fontId="6" fillId="0" borderId="54" xfId="47" applyNumberFormat="1" applyFont="1" applyBorder="1" applyProtection="1">
      <alignment/>
      <protection locked="0"/>
    </xf>
    <xf numFmtId="4" fontId="6" fillId="0" borderId="39" xfId="47" applyNumberFormat="1" applyFont="1" applyBorder="1" applyProtection="1">
      <alignment/>
      <protection locked="0"/>
    </xf>
    <xf numFmtId="4" fontId="6" fillId="0" borderId="54" xfId="47" applyNumberFormat="1" applyFont="1" applyFill="1" applyBorder="1" applyProtection="1">
      <alignment/>
      <protection locked="0"/>
    </xf>
    <xf numFmtId="4" fontId="6" fillId="0" borderId="39" xfId="47" applyNumberFormat="1" applyFont="1" applyBorder="1" applyAlignment="1" applyProtection="1">
      <alignment/>
      <protection/>
    </xf>
    <xf numFmtId="4" fontId="6" fillId="0" borderId="40" xfId="47" applyNumberFormat="1" applyFont="1" applyBorder="1" applyProtection="1">
      <alignment/>
      <protection locked="0"/>
    </xf>
    <xf numFmtId="4" fontId="6" fillId="35" borderId="40" xfId="47" applyNumberFormat="1" applyFont="1" applyFill="1" applyBorder="1" applyProtection="1">
      <alignment/>
      <protection locked="0"/>
    </xf>
    <xf numFmtId="4" fontId="6" fillId="0" borderId="40" xfId="47" applyNumberFormat="1" applyFont="1" applyBorder="1" applyAlignment="1" applyProtection="1">
      <alignment/>
      <protection/>
    </xf>
    <xf numFmtId="4" fontId="21" fillId="0" borderId="39" xfId="49" applyNumberFormat="1" applyFont="1" applyFill="1" applyBorder="1" applyProtection="1">
      <alignment/>
      <protection locked="0"/>
    </xf>
    <xf numFmtId="4" fontId="6" fillId="0" borderId="39" xfId="47" applyNumberFormat="1" applyFont="1" applyBorder="1" applyProtection="1">
      <alignment/>
      <protection/>
    </xf>
    <xf numFmtId="4" fontId="2" fillId="0" borderId="40" xfId="47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7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9" applyNumberFormat="1" applyFont="1" applyFill="1" applyBorder="1" applyProtection="1">
      <alignment/>
      <protection locked="0"/>
    </xf>
    <xf numFmtId="4" fontId="6" fillId="0" borderId="0" xfId="49" applyNumberFormat="1" applyFont="1" applyFill="1" applyBorder="1" applyProtection="1">
      <alignment/>
      <protection locked="0"/>
    </xf>
    <xf numFmtId="4" fontId="6" fillId="0" borderId="24" xfId="49" applyNumberFormat="1" applyFont="1" applyFill="1" applyBorder="1" applyAlignment="1" applyProtection="1">
      <alignment/>
      <protection/>
    </xf>
    <xf numFmtId="0" fontId="13" fillId="34" borderId="55" xfId="49" applyFont="1" applyFill="1" applyBorder="1">
      <alignment/>
      <protection/>
    </xf>
    <xf numFmtId="0" fontId="7" fillId="40" borderId="56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8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49" applyNumberFormat="1" applyFont="1" applyFill="1" applyBorder="1" applyAlignment="1" applyProtection="1">
      <alignment/>
      <protection/>
    </xf>
    <xf numFmtId="4" fontId="6" fillId="42" borderId="49" xfId="49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47" applyFont="1" applyFill="1">
      <alignment/>
      <protection/>
    </xf>
    <xf numFmtId="0" fontId="0" fillId="44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7" applyFont="1" applyFill="1" applyBorder="1">
      <alignment/>
      <protection/>
    </xf>
    <xf numFmtId="0" fontId="14" fillId="0" borderId="24" xfId="47" applyFont="1" applyFill="1" applyBorder="1">
      <alignment/>
      <protection/>
    </xf>
    <xf numFmtId="0" fontId="15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0" fontId="13" fillId="46" borderId="0" xfId="47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9" xfId="0" applyFont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6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8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0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1" xfId="0" applyNumberFormat="1" applyFont="1" applyFill="1" applyBorder="1" applyAlignment="1">
      <alignment horizontal="left" wrapText="1"/>
    </xf>
    <xf numFmtId="49" fontId="31" fillId="51" borderId="61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2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54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47" applyNumberFormat="1" applyFont="1" applyFill="1" applyBorder="1" applyProtection="1">
      <alignment/>
      <protection locked="0"/>
    </xf>
    <xf numFmtId="0" fontId="13" fillId="0" borderId="27" xfId="49" applyFont="1" applyBorder="1">
      <alignment/>
      <protection/>
    </xf>
    <xf numFmtId="4" fontId="12" fillId="0" borderId="43" xfId="49" applyNumberFormat="1" applyFont="1" applyFill="1" applyBorder="1" applyAlignment="1" applyProtection="1">
      <alignment wrapText="1"/>
      <protection locked="0"/>
    </xf>
    <xf numFmtId="0" fontId="3" fillId="0" borderId="0" xfId="49" applyFont="1" applyFill="1" applyBorder="1" applyAlignment="1">
      <alignment horizontal="left"/>
      <protection/>
    </xf>
    <xf numFmtId="4" fontId="12" fillId="0" borderId="50" xfId="49" applyNumberFormat="1" applyFont="1" applyFill="1" applyBorder="1" applyAlignment="1" applyProtection="1">
      <alignment wrapText="1"/>
      <protection locked="0"/>
    </xf>
    <xf numFmtId="4" fontId="6" fillId="0" borderId="0" xfId="4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85" fillId="0" borderId="0" xfId="0" applyNumberFormat="1" applyFont="1" applyAlignment="1">
      <alignment/>
    </xf>
    <xf numFmtId="0" fontId="32" fillId="0" borderId="37" xfId="47" applyFont="1" applyFill="1" applyBorder="1" applyAlignment="1">
      <alignment wrapText="1"/>
      <protection/>
    </xf>
    <xf numFmtId="0" fontId="32" fillId="0" borderId="35" xfId="47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47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47" applyFont="1" applyFill="1">
      <alignment/>
      <protection/>
    </xf>
    <xf numFmtId="0" fontId="3" fillId="56" borderId="0" xfId="49" applyFont="1" applyFill="1" applyBorder="1">
      <alignment/>
      <protection/>
    </xf>
    <xf numFmtId="0" fontId="3" fillId="56" borderId="0" xfId="47" applyFont="1" applyFill="1" applyBorder="1" applyAlignment="1">
      <alignment horizontal="left"/>
      <protection/>
    </xf>
    <xf numFmtId="0" fontId="86" fillId="0" borderId="0" xfId="0" applyFont="1" applyFill="1" applyAlignment="1" applyProtection="1">
      <alignment/>
      <protection/>
    </xf>
    <xf numFmtId="4" fontId="86" fillId="0" borderId="0" xfId="0" applyNumberFormat="1" applyFont="1" applyFill="1" applyAlignment="1" applyProtection="1">
      <alignment/>
      <protection/>
    </xf>
    <xf numFmtId="0" fontId="87" fillId="0" borderId="0" xfId="0" applyFont="1" applyFill="1" applyAlignment="1">
      <alignment/>
    </xf>
    <xf numFmtId="3" fontId="86" fillId="0" borderId="0" xfId="0" applyNumberFormat="1" applyFont="1" applyFill="1" applyAlignment="1" applyProtection="1">
      <alignment/>
      <protection/>
    </xf>
    <xf numFmtId="0" fontId="88" fillId="0" borderId="0" xfId="0" applyFont="1" applyAlignment="1">
      <alignment/>
    </xf>
    <xf numFmtId="4" fontId="89" fillId="0" borderId="0" xfId="0" applyNumberFormat="1" applyFont="1" applyAlignment="1" applyProtection="1">
      <alignment/>
      <protection/>
    </xf>
    <xf numFmtId="0" fontId="90" fillId="0" borderId="0" xfId="47" applyFont="1">
      <alignment/>
      <protection/>
    </xf>
    <xf numFmtId="0" fontId="27" fillId="0" borderId="0" xfId="49" applyFont="1" applyFill="1" applyBorder="1" applyAlignment="1">
      <alignment/>
      <protection/>
    </xf>
    <xf numFmtId="0" fontId="13" fillId="41" borderId="0" xfId="49" applyFont="1" applyFill="1" applyBorder="1">
      <alignment/>
      <protection/>
    </xf>
    <xf numFmtId="0" fontId="22" fillId="0" borderId="30" xfId="47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47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91" fillId="0" borderId="0" xfId="0" applyFont="1" applyFill="1" applyBorder="1" applyAlignment="1">
      <alignment wrapText="1"/>
    </xf>
    <xf numFmtId="3" fontId="91" fillId="0" borderId="0" xfId="0" applyNumberFormat="1" applyFont="1" applyFill="1" applyBorder="1" applyAlignment="1">
      <alignment horizontal="right" wrapText="1"/>
    </xf>
    <xf numFmtId="0" fontId="91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49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4" fontId="25" fillId="41" borderId="39" xfId="49" applyNumberFormat="1" applyFont="1" applyFill="1" applyBorder="1" applyAlignment="1" applyProtection="1">
      <alignment horizontal="center" wrapText="1"/>
      <protection locked="0"/>
    </xf>
    <xf numFmtId="3" fontId="92" fillId="0" borderId="63" xfId="0" applyNumberFormat="1" applyFont="1" applyFill="1" applyBorder="1" applyAlignment="1">
      <alignment/>
    </xf>
    <xf numFmtId="3" fontId="92" fillId="0" borderId="6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44" borderId="0" xfId="0" applyFill="1" applyAlignment="1">
      <alignment/>
    </xf>
    <xf numFmtId="0" fontId="0" fillId="0" borderId="18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85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47" borderId="18" xfId="0" applyNumberForma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 quotePrefix="1">
      <alignment/>
    </xf>
    <xf numFmtId="0" fontId="1" fillId="47" borderId="18" xfId="0" applyFont="1" applyFill="1" applyBorder="1" applyAlignment="1">
      <alignment/>
    </xf>
    <xf numFmtId="0" fontId="0" fillId="47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44" borderId="18" xfId="0" applyFill="1" applyBorder="1" applyAlignment="1">
      <alignment/>
    </xf>
    <xf numFmtId="0" fontId="0" fillId="44" borderId="0" xfId="0" applyFont="1" applyFill="1" applyAlignment="1">
      <alignment/>
    </xf>
    <xf numFmtId="0" fontId="36" fillId="47" borderId="18" xfId="0" applyFont="1" applyFill="1" applyBorder="1" applyAlignment="1">
      <alignment/>
    </xf>
    <xf numFmtId="3" fontId="1" fillId="0" borderId="18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3" fontId="0" fillId="0" borderId="0" xfId="0" applyNumberFormat="1" applyFill="1" applyAlignment="1" quotePrefix="1">
      <alignment/>
    </xf>
    <xf numFmtId="0" fontId="3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3" fillId="57" borderId="0" xfId="0" applyFont="1" applyFill="1" applyAlignment="1">
      <alignment horizontal="left" vertical="center" wrapText="1"/>
    </xf>
    <xf numFmtId="0" fontId="93" fillId="57" borderId="0" xfId="0" applyFont="1" applyFill="1" applyAlignment="1">
      <alignment horizontal="right" vertical="center" wrapText="1"/>
    </xf>
    <xf numFmtId="14" fontId="93" fillId="58" borderId="0" xfId="0" applyNumberFormat="1" applyFont="1" applyFill="1" applyAlignment="1">
      <alignment horizontal="left" vertical="center" wrapText="1"/>
    </xf>
    <xf numFmtId="0" fontId="93" fillId="58" borderId="0" xfId="0" applyFont="1" applyFill="1" applyAlignment="1">
      <alignment horizontal="right" vertical="center" wrapText="1"/>
    </xf>
    <xf numFmtId="14" fontId="93" fillId="58" borderId="65" xfId="0" applyNumberFormat="1" applyFont="1" applyFill="1" applyBorder="1" applyAlignment="1">
      <alignment horizontal="left" vertical="center" wrapText="1"/>
    </xf>
    <xf numFmtId="0" fontId="93" fillId="58" borderId="65" xfId="0" applyFont="1" applyFill="1" applyBorder="1" applyAlignment="1">
      <alignment horizontal="right" vertical="center" wrapText="1"/>
    </xf>
    <xf numFmtId="0" fontId="94" fillId="58" borderId="65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" fontId="25" fillId="0" borderId="43" xfId="49" applyNumberFormat="1" applyFont="1" applyFill="1" applyBorder="1" applyAlignment="1" applyProtection="1">
      <alignment horizontal="left" wrapText="1"/>
      <protection locked="0"/>
    </xf>
    <xf numFmtId="4" fontId="25" fillId="0" borderId="49" xfId="49" applyNumberFormat="1" applyFont="1" applyFill="1" applyBorder="1" applyAlignment="1" applyProtection="1">
      <alignment horizontal="left" wrapText="1"/>
      <protection locked="0"/>
    </xf>
    <xf numFmtId="0" fontId="3" fillId="0" borderId="12" xfId="49" applyFont="1" applyFill="1" applyBorder="1" applyAlignment="1">
      <alignment horizontal="left"/>
      <protection/>
    </xf>
    <xf numFmtId="0" fontId="3" fillId="0" borderId="31" xfId="49" applyFont="1" applyFill="1" applyBorder="1" applyAlignment="1">
      <alignment horizontal="left"/>
      <protection/>
    </xf>
    <xf numFmtId="0" fontId="13" fillId="0" borderId="23" xfId="4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47" applyFont="1" applyFill="1" applyBorder="1" applyAlignment="1">
      <alignment/>
      <protection/>
    </xf>
    <xf numFmtId="0" fontId="33" fillId="0" borderId="0" xfId="0" applyFont="1" applyAlignment="1">
      <alignment/>
    </xf>
    <xf numFmtId="49" fontId="31" fillId="51" borderId="66" xfId="0" applyNumberFormat="1" applyFont="1" applyFill="1" applyBorder="1" applyAlignment="1">
      <alignment horizontal="left" wrapText="1"/>
    </xf>
    <xf numFmtId="0" fontId="0" fillId="0" borderId="67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 2" xfId="47"/>
    <cellStyle name="Normal_Sheet1" xfId="48"/>
    <cellStyle name="Normal_Sheet1 2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nd" xfId="62"/>
    <cellStyle name="Currency" xfId="63"/>
    <cellStyle name="Currency [0]" xfId="64"/>
    <cellStyle name="Väljund" xfId="65"/>
    <cellStyle name="Üldpealkiri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8" sqref="D28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36.57421875" style="156" customWidth="1"/>
    <col min="7" max="7" width="7.140625" style="50" customWidth="1"/>
    <col min="8" max="8" width="18.421875" style="91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35.25" customHeight="1">
      <c r="A1" s="192"/>
      <c r="B1" s="143" t="s">
        <v>314</v>
      </c>
      <c r="C1" s="155"/>
      <c r="D1" s="426" t="s">
        <v>397</v>
      </c>
      <c r="E1"/>
      <c r="F1" s="425" t="s">
        <v>343</v>
      </c>
      <c r="H1" s="423" t="s">
        <v>395</v>
      </c>
      <c r="I1"/>
      <c r="J1"/>
      <c r="K1"/>
    </row>
    <row r="2" spans="1:11" s="91" customFormat="1" ht="15" customHeight="1" thickBot="1">
      <c r="A2" s="193" t="s">
        <v>214</v>
      </c>
      <c r="B2" s="69"/>
      <c r="C2" s="73"/>
      <c r="D2" s="136"/>
      <c r="E2"/>
      <c r="F2" s="174" t="s">
        <v>345</v>
      </c>
      <c r="H2" s="424" t="s">
        <v>396</v>
      </c>
      <c r="I2"/>
      <c r="J2"/>
      <c r="K2"/>
    </row>
    <row r="3" spans="1:11" s="91" customFormat="1" ht="34.5" customHeight="1" thickBot="1">
      <c r="A3" s="194" t="s">
        <v>5</v>
      </c>
      <c r="B3" s="96"/>
      <c r="C3" s="74"/>
      <c r="D3" s="525" t="s">
        <v>367</v>
      </c>
      <c r="E3"/>
      <c r="F3" s="191" t="s">
        <v>296</v>
      </c>
      <c r="H3" s="347" t="s">
        <v>472</v>
      </c>
      <c r="I3"/>
      <c r="J3"/>
      <c r="K3"/>
    </row>
    <row r="4" spans="1:11" s="91" customFormat="1" ht="29.25" customHeight="1" thickBot="1">
      <c r="A4" s="195" t="s">
        <v>208</v>
      </c>
      <c r="B4" s="97"/>
      <c r="C4" s="75"/>
      <c r="D4" s="526"/>
      <c r="E4"/>
      <c r="F4" s="120"/>
      <c r="H4" s="462" t="s">
        <v>470</v>
      </c>
      <c r="I4"/>
      <c r="J4"/>
      <c r="K4"/>
    </row>
    <row r="5" spans="1:11" s="91" customFormat="1" ht="51.75" customHeight="1" thickBot="1">
      <c r="A5" s="98" t="s">
        <v>305</v>
      </c>
      <c r="B5" s="115" t="s">
        <v>174</v>
      </c>
      <c r="C5" s="76"/>
      <c r="D5" s="458" t="s">
        <v>471</v>
      </c>
      <c r="E5"/>
      <c r="F5" s="120"/>
      <c r="H5" s="185" t="s">
        <v>316</v>
      </c>
      <c r="I5"/>
      <c r="J5"/>
      <c r="K5"/>
    </row>
    <row r="6" spans="1:11" s="91" customFormat="1" ht="15" customHeight="1" thickBot="1">
      <c r="A6" s="196"/>
      <c r="B6" s="128" t="s">
        <v>173</v>
      </c>
      <c r="C6" s="129"/>
      <c r="D6" s="207">
        <f>D7+D14+D15+D19</f>
        <v>11964370</v>
      </c>
      <c r="E6"/>
      <c r="F6" s="120"/>
      <c r="H6" s="243">
        <f>H7+H14+H15+H19</f>
        <v>11591864.08</v>
      </c>
      <c r="I6"/>
      <c r="J6"/>
      <c r="K6"/>
    </row>
    <row r="7" spans="1:11" s="91" customFormat="1" ht="13.5" thickBot="1">
      <c r="A7" s="196">
        <v>30</v>
      </c>
      <c r="B7" s="144" t="s">
        <v>172</v>
      </c>
      <c r="C7" s="145"/>
      <c r="D7" s="208">
        <f>SUM(D8:D13)</f>
        <v>5312154</v>
      </c>
      <c r="E7"/>
      <c r="F7" s="120"/>
      <c r="H7" s="211">
        <f>SUM(H8:H13)</f>
        <v>5685325.8</v>
      </c>
      <c r="I7"/>
      <c r="J7"/>
      <c r="K7"/>
    </row>
    <row r="8" spans="1:8" ht="12.75">
      <c r="A8" s="197">
        <v>3000</v>
      </c>
      <c r="B8" s="99"/>
      <c r="C8" s="77" t="s">
        <v>171</v>
      </c>
      <c r="D8" s="210">
        <v>4863570</v>
      </c>
      <c r="H8" s="186">
        <v>5235609.58</v>
      </c>
    </row>
    <row r="9" spans="1:8" ht="12.75">
      <c r="A9" s="198">
        <v>3030</v>
      </c>
      <c r="B9" s="100"/>
      <c r="C9" s="77" t="s">
        <v>170</v>
      </c>
      <c r="D9" s="210">
        <v>448584</v>
      </c>
      <c r="H9" s="186">
        <v>449716.22</v>
      </c>
    </row>
    <row r="10" spans="1:8" ht="12.75">
      <c r="A10" s="198">
        <v>3034</v>
      </c>
      <c r="B10" s="100"/>
      <c r="C10" s="77" t="s">
        <v>169</v>
      </c>
      <c r="D10" s="210"/>
      <c r="H10" s="244">
        <v>0</v>
      </c>
    </row>
    <row r="11" spans="1:8" ht="12.75">
      <c r="A11" s="198">
        <v>3044</v>
      </c>
      <c r="B11" s="100"/>
      <c r="C11" s="77" t="s">
        <v>168</v>
      </c>
      <c r="D11" s="210"/>
      <c r="H11" s="244">
        <v>0</v>
      </c>
    </row>
    <row r="12" spans="1:8" ht="12.75">
      <c r="A12" s="198">
        <v>3045</v>
      </c>
      <c r="B12" s="100"/>
      <c r="C12" s="77" t="s">
        <v>167</v>
      </c>
      <c r="D12" s="210"/>
      <c r="H12" s="244">
        <v>0</v>
      </c>
    </row>
    <row r="13" spans="1:8" ht="13.5" thickBot="1">
      <c r="A13" s="199">
        <v>3047</v>
      </c>
      <c r="B13" s="100"/>
      <c r="C13" s="78" t="s">
        <v>166</v>
      </c>
      <c r="D13" s="210"/>
      <c r="H13" s="244">
        <v>0</v>
      </c>
    </row>
    <row r="14" spans="1:11" s="91" customFormat="1" ht="13.5" thickBot="1">
      <c r="A14" s="200">
        <v>32</v>
      </c>
      <c r="B14" s="146" t="s">
        <v>165</v>
      </c>
      <c r="C14" s="145"/>
      <c r="D14" s="208">
        <v>1313325</v>
      </c>
      <c r="E14"/>
      <c r="F14" s="120"/>
      <c r="H14" s="211">
        <v>1256047.61</v>
      </c>
      <c r="I14"/>
      <c r="J14"/>
      <c r="K14"/>
    </row>
    <row r="15" spans="1:11" s="91" customFormat="1" ht="13.5" thickBot="1">
      <c r="A15" s="196"/>
      <c r="B15" s="146" t="s">
        <v>209</v>
      </c>
      <c r="C15" s="145"/>
      <c r="D15" s="209">
        <f>D16+D17+D18</f>
        <v>5308891</v>
      </c>
      <c r="E15"/>
      <c r="F15" s="157"/>
      <c r="H15" s="211">
        <f>H16+H17+H18</f>
        <v>4622882.9</v>
      </c>
      <c r="I15"/>
      <c r="J15"/>
      <c r="K15"/>
    </row>
    <row r="16" spans="1:8" ht="12.75">
      <c r="A16" s="198">
        <v>35200</v>
      </c>
      <c r="B16" s="100"/>
      <c r="C16" s="77" t="s">
        <v>403</v>
      </c>
      <c r="D16" s="212">
        <v>1624029</v>
      </c>
      <c r="F16" s="157" t="s">
        <v>342</v>
      </c>
      <c r="H16" s="245">
        <v>1366122</v>
      </c>
    </row>
    <row r="17" spans="1:8" ht="12.75">
      <c r="A17" s="198">
        <v>35201</v>
      </c>
      <c r="B17" s="100"/>
      <c r="C17" s="78" t="s">
        <v>404</v>
      </c>
      <c r="D17" s="213">
        <v>3537188</v>
      </c>
      <c r="F17" s="157" t="s">
        <v>405</v>
      </c>
      <c r="H17" s="245">
        <v>3032813</v>
      </c>
    </row>
    <row r="18" spans="1:8" ht="13.5" thickBot="1">
      <c r="A18" s="199" t="s">
        <v>215</v>
      </c>
      <c r="B18" s="102"/>
      <c r="C18" s="80" t="s">
        <v>295</v>
      </c>
      <c r="D18" s="215">
        <v>147674</v>
      </c>
      <c r="F18" s="120" t="s">
        <v>409</v>
      </c>
      <c r="H18" s="246">
        <v>223947.9</v>
      </c>
    </row>
    <row r="19" spans="1:11" s="91" customFormat="1" ht="13.5" thickBot="1">
      <c r="A19" s="196"/>
      <c r="B19" s="146" t="s">
        <v>164</v>
      </c>
      <c r="C19" s="277"/>
      <c r="D19" s="208">
        <f>SUM(D20:D23)</f>
        <v>30000</v>
      </c>
      <c r="E19"/>
      <c r="F19" s="174"/>
      <c r="H19" s="211">
        <f>SUM(H20:H23)</f>
        <v>27607.77</v>
      </c>
      <c r="I19"/>
      <c r="J19"/>
      <c r="K19"/>
    </row>
    <row r="20" spans="1:8" ht="12.75">
      <c r="A20" s="197" t="s">
        <v>373</v>
      </c>
      <c r="B20" s="100"/>
      <c r="C20" s="58" t="s">
        <v>336</v>
      </c>
      <c r="D20" s="274">
        <v>23000</v>
      </c>
      <c r="F20" s="156" t="s">
        <v>315</v>
      </c>
      <c r="H20" s="244">
        <v>17704.48</v>
      </c>
    </row>
    <row r="21" spans="1:8" ht="12.75">
      <c r="A21" s="198" t="s">
        <v>374</v>
      </c>
      <c r="B21" s="100"/>
      <c r="C21" s="77" t="s">
        <v>306</v>
      </c>
      <c r="D21" s="275">
        <v>7000</v>
      </c>
      <c r="H21" s="244">
        <v>8791.45</v>
      </c>
    </row>
    <row r="22" spans="1:11" s="91" customFormat="1" ht="12.75">
      <c r="A22" s="198">
        <v>3882</v>
      </c>
      <c r="B22" s="100"/>
      <c r="C22" s="77" t="s">
        <v>337</v>
      </c>
      <c r="D22" s="417"/>
      <c r="E22" s="418"/>
      <c r="F22" s="120"/>
      <c r="H22" s="245"/>
      <c r="I22"/>
      <c r="J22"/>
      <c r="K22"/>
    </row>
    <row r="23" spans="1:11" s="91" customFormat="1" ht="13.5" thickBot="1">
      <c r="A23" s="199" t="s">
        <v>317</v>
      </c>
      <c r="B23" s="102"/>
      <c r="C23" s="79" t="s">
        <v>338</v>
      </c>
      <c r="D23" s="276"/>
      <c r="E23"/>
      <c r="F23" s="173" t="s">
        <v>364</v>
      </c>
      <c r="H23" s="246">
        <v>1111.84</v>
      </c>
      <c r="I23"/>
      <c r="J23"/>
      <c r="K23"/>
    </row>
    <row r="24" spans="1:11" s="91" customFormat="1" ht="13.5" thickBot="1">
      <c r="A24" s="201"/>
      <c r="B24" s="130" t="s">
        <v>163</v>
      </c>
      <c r="C24" s="131"/>
      <c r="D24" s="216">
        <f>D25+D30</f>
        <v>-10880989</v>
      </c>
      <c r="E24"/>
      <c r="F24"/>
      <c r="H24" s="247">
        <f>H25+H30</f>
        <v>-10503671.79</v>
      </c>
      <c r="I24"/>
      <c r="J24"/>
      <c r="K24"/>
    </row>
    <row r="25" spans="1:11" s="91" customFormat="1" ht="13.5" thickBot="1">
      <c r="A25" s="202"/>
      <c r="B25" s="147" t="s">
        <v>210</v>
      </c>
      <c r="C25" s="148"/>
      <c r="D25" s="216">
        <f>D26+D27+D28+D29</f>
        <v>-766014</v>
      </c>
      <c r="E25"/>
      <c r="F25" s="157"/>
      <c r="H25" s="247">
        <f>H26+H27+H28+H29</f>
        <v>-643377.78</v>
      </c>
      <c r="I25"/>
      <c r="J25"/>
      <c r="K25"/>
    </row>
    <row r="26" spans="1:8" ht="12.75">
      <c r="A26" s="197">
        <v>40</v>
      </c>
      <c r="B26" s="99"/>
      <c r="C26" s="81" t="s">
        <v>162</v>
      </c>
      <c r="D26" s="217"/>
      <c r="H26" s="248">
        <v>0</v>
      </c>
    </row>
    <row r="27" spans="1:8" ht="12.75">
      <c r="A27" s="198">
        <v>413</v>
      </c>
      <c r="B27" s="100"/>
      <c r="C27" s="58" t="s">
        <v>211</v>
      </c>
      <c r="D27" s="218">
        <v>-446278</v>
      </c>
      <c r="H27" s="245">
        <v>-344244.85</v>
      </c>
    </row>
    <row r="28" spans="1:8" ht="12.75">
      <c r="A28" s="198">
        <v>4500</v>
      </c>
      <c r="B28" s="100"/>
      <c r="C28" s="82" t="s">
        <v>212</v>
      </c>
      <c r="D28" s="218">
        <v>-141395</v>
      </c>
      <c r="H28" s="245">
        <v>-107398.95</v>
      </c>
    </row>
    <row r="29" spans="1:8" ht="13.5" thickBot="1">
      <c r="A29" s="203">
        <v>452</v>
      </c>
      <c r="B29" s="104"/>
      <c r="C29" s="59" t="s">
        <v>213</v>
      </c>
      <c r="D29" s="210">
        <v>-178341</v>
      </c>
      <c r="H29" s="244">
        <v>-191733.98</v>
      </c>
    </row>
    <row r="30" spans="1:11" s="91" customFormat="1" ht="13.5" thickBot="1">
      <c r="A30" s="200"/>
      <c r="B30" s="146" t="s">
        <v>161</v>
      </c>
      <c r="C30" s="145"/>
      <c r="D30" s="208">
        <f>D31+D32+D33</f>
        <v>-10114975</v>
      </c>
      <c r="E30"/>
      <c r="F30" s="120"/>
      <c r="H30" s="249">
        <f>H31+H32+H33</f>
        <v>-9860294.01</v>
      </c>
      <c r="I30"/>
      <c r="J30"/>
      <c r="K30"/>
    </row>
    <row r="31" spans="1:8" ht="12.75">
      <c r="A31" s="198">
        <v>50</v>
      </c>
      <c r="B31" s="100"/>
      <c r="C31" s="77" t="s">
        <v>160</v>
      </c>
      <c r="D31" s="219">
        <v>-6291919</v>
      </c>
      <c r="H31" s="250">
        <v>-5882818.64</v>
      </c>
    </row>
    <row r="32" spans="1:8" ht="12.75">
      <c r="A32" s="198">
        <v>55</v>
      </c>
      <c r="B32" s="100"/>
      <c r="C32" s="77" t="s">
        <v>159</v>
      </c>
      <c r="D32" s="218">
        <v>-3807607</v>
      </c>
      <c r="H32" s="244">
        <v>-3965316.38</v>
      </c>
    </row>
    <row r="33" spans="1:11" s="91" customFormat="1" ht="13.5" thickBot="1">
      <c r="A33" s="199">
        <v>60</v>
      </c>
      <c r="B33" s="102"/>
      <c r="C33" s="79" t="s">
        <v>158</v>
      </c>
      <c r="D33" s="225">
        <v>-15449</v>
      </c>
      <c r="E33"/>
      <c r="F33" s="157" t="s">
        <v>381</v>
      </c>
      <c r="H33" s="246">
        <v>-12158.99</v>
      </c>
      <c r="I33"/>
      <c r="J33"/>
      <c r="K33"/>
    </row>
    <row r="34" spans="1:11" s="91" customFormat="1" ht="13.5" thickBot="1">
      <c r="A34" s="200"/>
      <c r="B34" s="138" t="s">
        <v>157</v>
      </c>
      <c r="C34" s="139"/>
      <c r="D34" s="221">
        <f>D6+D24</f>
        <v>1083381</v>
      </c>
      <c r="E34"/>
      <c r="F34" s="135"/>
      <c r="H34" s="221">
        <f>H6+H24</f>
        <v>1088192.290000001</v>
      </c>
      <c r="I34"/>
      <c r="J34"/>
      <c r="K34"/>
    </row>
    <row r="35" spans="1:11" s="91" customFormat="1" ht="13.5" thickBot="1">
      <c r="A35" s="200"/>
      <c r="B35" s="132" t="s">
        <v>156</v>
      </c>
      <c r="C35" s="133"/>
      <c r="D35" s="222">
        <f>D36+D37+D38+D39+D40+D41+D42+D43+D44+D45+D46+D47</f>
        <v>-2223808</v>
      </c>
      <c r="E35"/>
      <c r="F35" s="160"/>
      <c r="H35" s="229">
        <f>H36+H37+H38+H39+H40+H41+H42+H43+H44+H45+H46+H47</f>
        <v>-679358.0000000001</v>
      </c>
      <c r="I35"/>
      <c r="J35"/>
      <c r="K35"/>
    </row>
    <row r="36" spans="1:11" s="91" customFormat="1" ht="12.75">
      <c r="A36" s="198">
        <v>381</v>
      </c>
      <c r="B36" s="100"/>
      <c r="C36" s="149" t="s">
        <v>155</v>
      </c>
      <c r="D36" s="210">
        <v>22700</v>
      </c>
      <c r="E36"/>
      <c r="F36" s="334"/>
      <c r="H36" s="245">
        <v>28250</v>
      </c>
      <c r="I36"/>
      <c r="J36"/>
      <c r="K36"/>
    </row>
    <row r="37" spans="1:8" ht="12.75">
      <c r="A37" s="198">
        <v>15</v>
      </c>
      <c r="B37" s="100"/>
      <c r="C37" s="149" t="s">
        <v>149</v>
      </c>
      <c r="D37" s="210">
        <v>-2646179</v>
      </c>
      <c r="F37" s="441" t="s">
        <v>347</v>
      </c>
      <c r="H37" s="245">
        <v>-1174688</v>
      </c>
    </row>
    <row r="38" spans="1:8" ht="12.75">
      <c r="A38" s="198">
        <v>3502</v>
      </c>
      <c r="B38" s="100"/>
      <c r="C38" s="149" t="s">
        <v>153</v>
      </c>
      <c r="D38" s="218">
        <v>903785</v>
      </c>
      <c r="G38" s="156" t="s">
        <v>297</v>
      </c>
      <c r="H38" s="245">
        <v>748203.21</v>
      </c>
    </row>
    <row r="39" spans="1:8" ht="12.75">
      <c r="A39" s="198">
        <v>4502</v>
      </c>
      <c r="B39" s="100"/>
      <c r="C39" s="150" t="s">
        <v>147</v>
      </c>
      <c r="D39" s="210">
        <v>-281149</v>
      </c>
      <c r="F39" s="158"/>
      <c r="G39" s="158"/>
      <c r="H39" s="244">
        <v>-142544.41</v>
      </c>
    </row>
    <row r="40" spans="1:8" ht="12.75">
      <c r="A40" s="223" t="s">
        <v>375</v>
      </c>
      <c r="B40" s="84"/>
      <c r="C40" s="431" t="s">
        <v>152</v>
      </c>
      <c r="D40" s="224"/>
      <c r="F40" s="159"/>
      <c r="G40" s="159" t="s">
        <v>298</v>
      </c>
      <c r="H40" s="251">
        <v>0</v>
      </c>
    </row>
    <row r="41" spans="1:8" ht="12.75">
      <c r="A41" s="223" t="s">
        <v>376</v>
      </c>
      <c r="B41" s="84"/>
      <c r="C41" s="431" t="s">
        <v>146</v>
      </c>
      <c r="D41" s="224">
        <v>-125000</v>
      </c>
      <c r="F41" s="137" t="s">
        <v>432</v>
      </c>
      <c r="G41" s="159" t="s">
        <v>299</v>
      </c>
      <c r="H41" s="251">
        <v>0</v>
      </c>
    </row>
    <row r="42" spans="1:8" ht="12.75">
      <c r="A42" s="223" t="s">
        <v>377</v>
      </c>
      <c r="B42" s="100"/>
      <c r="C42" s="432" t="s">
        <v>151</v>
      </c>
      <c r="D42" s="224"/>
      <c r="F42" s="158"/>
      <c r="G42" s="158" t="s">
        <v>300</v>
      </c>
      <c r="H42" s="251">
        <v>0</v>
      </c>
    </row>
    <row r="43" spans="1:8" ht="12.75">
      <c r="A43" s="223" t="s">
        <v>378</v>
      </c>
      <c r="B43" s="100"/>
      <c r="C43" s="432" t="s">
        <v>145</v>
      </c>
      <c r="D43" s="224"/>
      <c r="F43" s="137" t="s">
        <v>432</v>
      </c>
      <c r="G43" s="158" t="s">
        <v>301</v>
      </c>
      <c r="H43" s="251">
        <v>0</v>
      </c>
    </row>
    <row r="44" spans="1:11" s="91" customFormat="1" ht="12.75">
      <c r="A44" s="198">
        <v>1532</v>
      </c>
      <c r="B44" s="100"/>
      <c r="C44" s="151" t="s">
        <v>150</v>
      </c>
      <c r="D44" s="210"/>
      <c r="E44"/>
      <c r="F44" s="121"/>
      <c r="G44" s="91" t="s">
        <v>340</v>
      </c>
      <c r="H44" s="244">
        <v>0</v>
      </c>
      <c r="I44"/>
      <c r="J44"/>
      <c r="K44"/>
    </row>
    <row r="45" spans="1:11" s="91" customFormat="1" ht="12.75">
      <c r="A45" s="198">
        <v>1531</v>
      </c>
      <c r="B45" s="100"/>
      <c r="C45" s="150" t="s">
        <v>144</v>
      </c>
      <c r="D45" s="224"/>
      <c r="E45"/>
      <c r="F45" s="440" t="s">
        <v>402</v>
      </c>
      <c r="G45" s="91" t="s">
        <v>341</v>
      </c>
      <c r="H45" s="252">
        <v>-60000</v>
      </c>
      <c r="I45"/>
      <c r="J45"/>
      <c r="K45"/>
    </row>
    <row r="46" spans="1:11" s="91" customFormat="1" ht="12.75">
      <c r="A46" s="204">
        <v>655</v>
      </c>
      <c r="B46" s="84"/>
      <c r="C46" s="149" t="s">
        <v>154</v>
      </c>
      <c r="D46" s="224"/>
      <c r="E46"/>
      <c r="F46" s="137" t="s">
        <v>411</v>
      </c>
      <c r="H46" s="253">
        <v>184.47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148</v>
      </c>
      <c r="D47" s="225">
        <v>-97965</v>
      </c>
      <c r="E47"/>
      <c r="F47" s="137"/>
      <c r="H47" s="254">
        <v>-78763.27</v>
      </c>
      <c r="I47"/>
      <c r="J47"/>
      <c r="K47"/>
    </row>
    <row r="48" spans="1:11" s="91" customFormat="1" ht="13.5" thickBot="1">
      <c r="A48" s="196"/>
      <c r="B48" s="140" t="s">
        <v>143</v>
      </c>
      <c r="C48" s="141"/>
      <c r="D48" s="226">
        <f>D34+D35</f>
        <v>-1140427</v>
      </c>
      <c r="E48"/>
      <c r="F48"/>
      <c r="G48" s="136">
        <f>E52-E49</f>
        <v>0</v>
      </c>
      <c r="H48" s="227">
        <f>H34+H35</f>
        <v>408834.29000000085</v>
      </c>
      <c r="I48"/>
      <c r="J48"/>
      <c r="K48"/>
    </row>
    <row r="49" spans="1:11" s="91" customFormat="1" ht="13.5" thickBot="1">
      <c r="A49" s="196"/>
      <c r="B49" s="132" t="s">
        <v>142</v>
      </c>
      <c r="C49" s="133"/>
      <c r="D49" s="228">
        <f>D50+D51</f>
        <v>761919</v>
      </c>
      <c r="E49"/>
      <c r="F49" s="136"/>
      <c r="H49" s="229">
        <f>H50+H51</f>
        <v>-682141.81</v>
      </c>
      <c r="I49"/>
      <c r="J49"/>
      <c r="K49"/>
    </row>
    <row r="50" spans="1:11" s="91" customFormat="1" ht="12.75">
      <c r="A50" s="205" t="s">
        <v>379</v>
      </c>
      <c r="B50" s="105"/>
      <c r="C50" s="153" t="s">
        <v>141</v>
      </c>
      <c r="D50" s="224">
        <v>1478683</v>
      </c>
      <c r="E50"/>
      <c r="F50" s="421" t="s">
        <v>416</v>
      </c>
      <c r="H50" s="255">
        <v>28388</v>
      </c>
      <c r="I50"/>
      <c r="J50"/>
      <c r="K50"/>
    </row>
    <row r="51" spans="1:11" s="91" customFormat="1" ht="13.5" thickBot="1">
      <c r="A51" s="206" t="s">
        <v>380</v>
      </c>
      <c r="B51" s="106"/>
      <c r="C51" s="154" t="s">
        <v>140</v>
      </c>
      <c r="D51" s="230">
        <v>-716764</v>
      </c>
      <c r="E51"/>
      <c r="F51" s="122" t="s">
        <v>302</v>
      </c>
      <c r="H51" s="256">
        <v>-710529.81</v>
      </c>
      <c r="I51"/>
      <c r="J51"/>
      <c r="K51"/>
    </row>
    <row r="52" spans="1:11" s="91" customFormat="1" ht="13.5" thickBot="1">
      <c r="A52" s="442">
        <v>100</v>
      </c>
      <c r="B52" s="128" t="s">
        <v>139</v>
      </c>
      <c r="C52" s="134"/>
      <c r="D52" s="226">
        <v>-378508</v>
      </c>
      <c r="E52"/>
      <c r="F52"/>
      <c r="H52" s="257">
        <v>-276928</v>
      </c>
      <c r="I52"/>
      <c r="J52"/>
      <c r="K52"/>
    </row>
    <row r="53" spans="1:8" ht="27" customHeight="1" thickBot="1">
      <c r="A53" s="196"/>
      <c r="B53" s="531" t="s">
        <v>460</v>
      </c>
      <c r="C53" s="532"/>
      <c r="D53" s="231"/>
      <c r="F53" s="50"/>
      <c r="H53" s="258">
        <v>-3620.48</v>
      </c>
    </row>
    <row r="54" spans="1:8" ht="19.5" customHeight="1" thickBot="1">
      <c r="A54" s="196"/>
      <c r="B54" s="84"/>
      <c r="C54" s="533" t="s">
        <v>431</v>
      </c>
      <c r="D54" s="534"/>
      <c r="E54" s="534"/>
      <c r="F54" s="534"/>
      <c r="G54" s="430"/>
      <c r="H54" s="448"/>
    </row>
    <row r="55" spans="1:11" s="91" customFormat="1" ht="37.5" customHeight="1" hidden="1" thickBot="1">
      <c r="A55" s="196"/>
      <c r="B55" s="529" t="s">
        <v>183</v>
      </c>
      <c r="C55" s="530"/>
      <c r="D55" s="216">
        <f>D56+D63+D64+D68+D85+D92+D99+D106+D124+D137</f>
        <v>0</v>
      </c>
      <c r="E55"/>
      <c r="F55"/>
      <c r="H55" s="216">
        <f>H56+H63+H64+H68+H85+H92+H99+H106+H124+H137</f>
        <v>0</v>
      </c>
      <c r="I55"/>
      <c r="J55"/>
      <c r="K55"/>
    </row>
    <row r="56" spans="1:8" ht="13.5" customHeight="1" hidden="1" thickBot="1">
      <c r="A56" s="107" t="s">
        <v>216</v>
      </c>
      <c r="B56" s="116" t="s">
        <v>138</v>
      </c>
      <c r="C56" s="56"/>
      <c r="D56" s="232">
        <f>SUM(D57:D62)</f>
        <v>0</v>
      </c>
      <c r="F56"/>
      <c r="H56" s="259">
        <f>SUM(H57:H62)</f>
        <v>0</v>
      </c>
    </row>
    <row r="57" spans="1:8" ht="12.75" customHeight="1" hidden="1">
      <c r="A57" s="108" t="s">
        <v>217</v>
      </c>
      <c r="B57" s="100" t="s">
        <v>137</v>
      </c>
      <c r="C57" s="77"/>
      <c r="D57" s="233"/>
      <c r="F57"/>
      <c r="H57" s="260"/>
    </row>
    <row r="58" spans="1:8" ht="12.75" customHeight="1" hidden="1">
      <c r="A58" s="108" t="s">
        <v>218</v>
      </c>
      <c r="B58" s="100" t="s">
        <v>136</v>
      </c>
      <c r="C58" s="77"/>
      <c r="D58" s="233"/>
      <c r="F58"/>
      <c r="H58" s="260"/>
    </row>
    <row r="59" spans="1:8" ht="12.75" customHeight="1" hidden="1">
      <c r="A59" s="108" t="s">
        <v>219</v>
      </c>
      <c r="B59" s="117" t="s">
        <v>135</v>
      </c>
      <c r="C59" s="58"/>
      <c r="D59" s="233"/>
      <c r="F59"/>
      <c r="H59" s="261"/>
    </row>
    <row r="60" spans="1:8" ht="12.75" customHeight="1" hidden="1">
      <c r="A60" s="108" t="s">
        <v>220</v>
      </c>
      <c r="B60" s="100" t="s">
        <v>134</v>
      </c>
      <c r="C60" s="77"/>
      <c r="D60" s="233"/>
      <c r="F60"/>
      <c r="H60" s="260"/>
    </row>
    <row r="61" spans="1:8" ht="12.75" customHeight="1" hidden="1">
      <c r="A61" s="108" t="s">
        <v>221</v>
      </c>
      <c r="B61" s="100" t="s">
        <v>133</v>
      </c>
      <c r="C61" s="77"/>
      <c r="D61" s="234"/>
      <c r="F61"/>
      <c r="H61" s="262"/>
    </row>
    <row r="62" spans="1:8" ht="13.5" customHeight="1" hidden="1" thickBot="1">
      <c r="A62" s="108"/>
      <c r="B62" s="102" t="s">
        <v>132</v>
      </c>
      <c r="C62" s="57"/>
      <c r="D62" s="235"/>
      <c r="F62"/>
      <c r="H62" s="256"/>
    </row>
    <row r="63" spans="1:8" ht="13.5" customHeight="1" hidden="1" thickBot="1">
      <c r="A63" s="107" t="s">
        <v>222</v>
      </c>
      <c r="B63" s="116" t="s">
        <v>131</v>
      </c>
      <c r="C63" s="56"/>
      <c r="D63" s="236"/>
      <c r="F63"/>
      <c r="H63" s="263"/>
    </row>
    <row r="64" spans="1:11" s="91" customFormat="1" ht="13.5" customHeight="1" hidden="1" thickBot="1">
      <c r="A64" s="107" t="s">
        <v>223</v>
      </c>
      <c r="B64" s="116" t="s">
        <v>130</v>
      </c>
      <c r="C64" s="85"/>
      <c r="D64" s="232">
        <f>SUM(D65:D67)</f>
        <v>0</v>
      </c>
      <c r="E64"/>
      <c r="F64"/>
      <c r="H64" s="264">
        <f>SUM(H65:H67)</f>
        <v>0</v>
      </c>
      <c r="I64"/>
      <c r="J64"/>
      <c r="K64"/>
    </row>
    <row r="65" spans="1:8" ht="12.75" customHeight="1" hidden="1">
      <c r="A65" s="108" t="s">
        <v>224</v>
      </c>
      <c r="B65" s="100" t="s">
        <v>129</v>
      </c>
      <c r="C65" s="83"/>
      <c r="D65" s="233"/>
      <c r="F65"/>
      <c r="H65" s="260"/>
    </row>
    <row r="66" spans="1:8" ht="12.75" customHeight="1" hidden="1">
      <c r="A66" s="108" t="s">
        <v>225</v>
      </c>
      <c r="B66" s="100" t="s">
        <v>128</v>
      </c>
      <c r="C66" s="83"/>
      <c r="D66" s="233"/>
      <c r="F66"/>
      <c r="H66" s="260"/>
    </row>
    <row r="67" spans="1:8" ht="13.5" customHeight="1" hidden="1" thickBot="1">
      <c r="A67" s="108"/>
      <c r="B67" s="102" t="s">
        <v>127</v>
      </c>
      <c r="C67" s="55"/>
      <c r="D67" s="235"/>
      <c r="F67"/>
      <c r="H67" s="256"/>
    </row>
    <row r="68" spans="1:8" ht="13.5" customHeight="1" hidden="1" thickBot="1">
      <c r="A68" s="107" t="s">
        <v>226</v>
      </c>
      <c r="B68" s="116" t="s">
        <v>126</v>
      </c>
      <c r="C68" s="85"/>
      <c r="D68" s="232">
        <f>SUM(D69:D84)</f>
        <v>0</v>
      </c>
      <c r="F68"/>
      <c r="H68" s="259">
        <f>SUM(H69:H84)</f>
        <v>0</v>
      </c>
    </row>
    <row r="69" spans="1:8" ht="12.75" customHeight="1" hidden="1">
      <c r="A69" s="108" t="s">
        <v>227</v>
      </c>
      <c r="B69" s="100" t="s">
        <v>125</v>
      </c>
      <c r="C69" s="83"/>
      <c r="D69" s="237"/>
      <c r="F69"/>
      <c r="H69" s="265"/>
    </row>
    <row r="70" spans="1:11" s="91" customFormat="1" ht="12.75" customHeight="1" hidden="1">
      <c r="A70" s="108" t="s">
        <v>228</v>
      </c>
      <c r="B70" s="100" t="s">
        <v>333</v>
      </c>
      <c r="C70" s="78"/>
      <c r="D70" s="233"/>
      <c r="E70"/>
      <c r="F70"/>
      <c r="H70" s="260"/>
      <c r="I70"/>
      <c r="J70"/>
      <c r="K70"/>
    </row>
    <row r="71" spans="1:8" ht="12.75" customHeight="1" hidden="1">
      <c r="A71" s="108" t="s">
        <v>229</v>
      </c>
      <c r="B71" s="100" t="s">
        <v>124</v>
      </c>
      <c r="C71" s="78"/>
      <c r="D71" s="233"/>
      <c r="F71"/>
      <c r="H71" s="260"/>
    </row>
    <row r="72" spans="1:8" ht="12.75" customHeight="1" hidden="1">
      <c r="A72" s="108" t="s">
        <v>230</v>
      </c>
      <c r="B72" s="100" t="s">
        <v>123</v>
      </c>
      <c r="C72" s="78"/>
      <c r="D72" s="233"/>
      <c r="F72"/>
      <c r="H72" s="260"/>
    </row>
    <row r="73" spans="1:8" ht="12.75" customHeight="1" hidden="1">
      <c r="A73" s="108" t="s">
        <v>231</v>
      </c>
      <c r="B73" s="100" t="s">
        <v>122</v>
      </c>
      <c r="C73" s="78"/>
      <c r="D73" s="233"/>
      <c r="F73"/>
      <c r="H73" s="260"/>
    </row>
    <row r="74" spans="1:8" ht="12.75" customHeight="1" hidden="1">
      <c r="A74" s="108" t="s">
        <v>232</v>
      </c>
      <c r="B74" s="100" t="s">
        <v>121</v>
      </c>
      <c r="C74" s="78"/>
      <c r="D74" s="233"/>
      <c r="F74"/>
      <c r="H74" s="260"/>
    </row>
    <row r="75" spans="1:8" ht="12.75" customHeight="1" hidden="1">
      <c r="A75" s="108" t="s">
        <v>233</v>
      </c>
      <c r="B75" s="100" t="s">
        <v>120</v>
      </c>
      <c r="C75" s="78"/>
      <c r="D75" s="233"/>
      <c r="F75"/>
      <c r="H75" s="260"/>
    </row>
    <row r="76" spans="1:8" ht="12.75" customHeight="1" hidden="1">
      <c r="A76" s="108" t="s">
        <v>234</v>
      </c>
      <c r="B76" s="100" t="s">
        <v>334</v>
      </c>
      <c r="C76" s="78"/>
      <c r="D76" s="233"/>
      <c r="F76"/>
      <c r="H76" s="260"/>
    </row>
    <row r="77" spans="1:8" ht="12.75" customHeight="1" hidden="1">
      <c r="A77" s="108" t="s">
        <v>235</v>
      </c>
      <c r="B77" s="100" t="s">
        <v>119</v>
      </c>
      <c r="C77" s="78"/>
      <c r="D77" s="233"/>
      <c r="F77"/>
      <c r="H77" s="260"/>
    </row>
    <row r="78" spans="1:8" ht="12.75" customHeight="1" hidden="1">
      <c r="A78" s="108" t="s">
        <v>236</v>
      </c>
      <c r="B78" s="100" t="s">
        <v>118</v>
      </c>
      <c r="C78" s="78"/>
      <c r="D78" s="233"/>
      <c r="F78"/>
      <c r="H78" s="260"/>
    </row>
    <row r="79" spans="1:8" ht="12.75" customHeight="1" hidden="1">
      <c r="A79" s="108" t="s">
        <v>237</v>
      </c>
      <c r="B79" s="100" t="s">
        <v>117</v>
      </c>
      <c r="C79" s="78"/>
      <c r="D79" s="233"/>
      <c r="F79"/>
      <c r="H79" s="260"/>
    </row>
    <row r="80" spans="1:8" ht="12.75" customHeight="1" hidden="1">
      <c r="A80" s="108" t="s">
        <v>238</v>
      </c>
      <c r="B80" s="100" t="s">
        <v>116</v>
      </c>
      <c r="C80" s="78"/>
      <c r="D80" s="233"/>
      <c r="F80"/>
      <c r="H80" s="260"/>
    </row>
    <row r="81" spans="1:8" ht="12.75" customHeight="1" hidden="1">
      <c r="A81" s="108" t="s">
        <v>239</v>
      </c>
      <c r="B81" s="100" t="s">
        <v>115</v>
      </c>
      <c r="C81" s="78"/>
      <c r="D81" s="233"/>
      <c r="F81"/>
      <c r="H81" s="260"/>
    </row>
    <row r="82" spans="1:8" ht="12.75" customHeight="1" hidden="1">
      <c r="A82" s="108" t="s">
        <v>240</v>
      </c>
      <c r="B82" s="100" t="s">
        <v>114</v>
      </c>
      <c r="C82" s="78"/>
      <c r="D82" s="233"/>
      <c r="F82"/>
      <c r="H82" s="260"/>
    </row>
    <row r="83" spans="1:8" ht="12.75" customHeight="1" hidden="1">
      <c r="A83" s="108" t="s">
        <v>241</v>
      </c>
      <c r="B83" s="100" t="s">
        <v>113</v>
      </c>
      <c r="C83" s="78"/>
      <c r="D83" s="233"/>
      <c r="F83"/>
      <c r="H83" s="260"/>
    </row>
    <row r="84" spans="1:8" ht="13.5" customHeight="1" hidden="1" thickBot="1">
      <c r="A84" s="109"/>
      <c r="B84" s="100" t="s">
        <v>112</v>
      </c>
      <c r="C84" s="78"/>
      <c r="D84" s="238"/>
      <c r="F84"/>
      <c r="H84" s="260"/>
    </row>
    <row r="85" spans="1:8" ht="13.5" customHeight="1" hidden="1" thickBot="1">
      <c r="A85" s="107" t="s">
        <v>242</v>
      </c>
      <c r="B85" s="116" t="s">
        <v>111</v>
      </c>
      <c r="C85" s="343"/>
      <c r="D85" s="232">
        <f>SUM(D86:D91)</f>
        <v>0</v>
      </c>
      <c r="F85"/>
      <c r="H85" s="264">
        <f>SUM(H86:H91)</f>
        <v>0</v>
      </c>
    </row>
    <row r="86" spans="1:8" ht="12.75" customHeight="1" hidden="1">
      <c r="A86" s="108" t="s">
        <v>243</v>
      </c>
      <c r="B86" s="100" t="s">
        <v>110</v>
      </c>
      <c r="C86" s="78"/>
      <c r="D86" s="233"/>
      <c r="F86"/>
      <c r="H86" s="260"/>
    </row>
    <row r="87" spans="1:8" ht="12.75" customHeight="1" hidden="1">
      <c r="A87" s="108" t="s">
        <v>446</v>
      </c>
      <c r="B87" s="535" t="s">
        <v>447</v>
      </c>
      <c r="C87" s="536"/>
      <c r="D87" s="233"/>
      <c r="F87"/>
      <c r="H87" s="260"/>
    </row>
    <row r="88" spans="1:8" ht="12.75" customHeight="1" hidden="1">
      <c r="A88" s="108" t="s">
        <v>244</v>
      </c>
      <c r="B88" s="100" t="s">
        <v>109</v>
      </c>
      <c r="C88" s="78"/>
      <c r="D88" s="233"/>
      <c r="F88"/>
      <c r="H88" s="260"/>
    </row>
    <row r="89" spans="1:8" ht="12.75" customHeight="1" hidden="1">
      <c r="A89" s="108" t="s">
        <v>245</v>
      </c>
      <c r="B89" s="100" t="s">
        <v>108</v>
      </c>
      <c r="C89" s="78"/>
      <c r="D89" s="233"/>
      <c r="F89"/>
      <c r="H89" s="260"/>
    </row>
    <row r="90" spans="1:8" ht="12.75" customHeight="1" hidden="1">
      <c r="A90" s="108" t="s">
        <v>246</v>
      </c>
      <c r="B90" s="84" t="s">
        <v>107</v>
      </c>
      <c r="C90" s="78"/>
      <c r="D90" s="233"/>
      <c r="F90"/>
      <c r="H90" s="260"/>
    </row>
    <row r="91" spans="1:8" ht="13.5" customHeight="1" hidden="1" thickBot="1">
      <c r="A91" s="108"/>
      <c r="B91" s="102" t="s">
        <v>106</v>
      </c>
      <c r="C91" s="344"/>
      <c r="D91" s="235"/>
      <c r="F91"/>
      <c r="H91" s="256"/>
    </row>
    <row r="92" spans="1:8" ht="13.5" customHeight="1" hidden="1" thickBot="1">
      <c r="A92" s="107" t="s">
        <v>247</v>
      </c>
      <c r="B92" s="116" t="s">
        <v>105</v>
      </c>
      <c r="C92" s="343"/>
      <c r="D92" s="232">
        <f>SUM(D93:D98)</f>
        <v>0</v>
      </c>
      <c r="F92"/>
      <c r="H92" s="259">
        <f>SUM(H93:H98)</f>
        <v>0</v>
      </c>
    </row>
    <row r="93" spans="1:8" ht="12.75" customHeight="1" hidden="1">
      <c r="A93" s="108" t="s">
        <v>248</v>
      </c>
      <c r="B93" s="100" t="s">
        <v>104</v>
      </c>
      <c r="C93" s="78"/>
      <c r="D93" s="233"/>
      <c r="F93"/>
      <c r="H93" s="260"/>
    </row>
    <row r="94" spans="1:8" ht="12.75" customHeight="1" hidden="1">
      <c r="A94" s="108" t="s">
        <v>249</v>
      </c>
      <c r="B94" s="100" t="s">
        <v>103</v>
      </c>
      <c r="C94" s="78"/>
      <c r="D94" s="233"/>
      <c r="F94"/>
      <c r="H94" s="260"/>
    </row>
    <row r="95" spans="1:8" ht="12.75" customHeight="1" hidden="1">
      <c r="A95" s="108" t="s">
        <v>250</v>
      </c>
      <c r="B95" s="100" t="s">
        <v>102</v>
      </c>
      <c r="C95" s="78"/>
      <c r="D95" s="233"/>
      <c r="F95"/>
      <c r="H95" s="260"/>
    </row>
    <row r="96" spans="1:8" ht="12.75" customHeight="1" hidden="1">
      <c r="A96" s="108" t="s">
        <v>251</v>
      </c>
      <c r="B96" s="100" t="s">
        <v>101</v>
      </c>
      <c r="C96" s="78"/>
      <c r="D96" s="233"/>
      <c r="F96"/>
      <c r="H96" s="260"/>
    </row>
    <row r="97" spans="1:8" ht="12.75" customHeight="1" hidden="1">
      <c r="A97" s="108" t="s">
        <v>252</v>
      </c>
      <c r="B97" s="100" t="s">
        <v>100</v>
      </c>
      <c r="C97" s="78"/>
      <c r="D97" s="233"/>
      <c r="F97"/>
      <c r="H97" s="260"/>
    </row>
    <row r="98" spans="1:8" ht="13.5" customHeight="1" hidden="1" thickBot="1">
      <c r="A98" s="108"/>
      <c r="B98" s="102" t="s">
        <v>99</v>
      </c>
      <c r="C98" s="345"/>
      <c r="D98" s="233"/>
      <c r="F98"/>
      <c r="H98" s="260"/>
    </row>
    <row r="99" spans="1:8" ht="13.5" customHeight="1" hidden="1" thickBot="1">
      <c r="A99" s="107" t="s">
        <v>253</v>
      </c>
      <c r="B99" s="116" t="s">
        <v>98</v>
      </c>
      <c r="C99" s="343"/>
      <c r="D99" s="232">
        <f>SUM(D100:D105)</f>
        <v>0</v>
      </c>
      <c r="F99"/>
      <c r="H99" s="259">
        <f>SUM(H100:H105)</f>
        <v>0</v>
      </c>
    </row>
    <row r="100" spans="1:8" ht="12.75" customHeight="1" hidden="1">
      <c r="A100" s="108" t="s">
        <v>254</v>
      </c>
      <c r="B100" s="100" t="s">
        <v>97</v>
      </c>
      <c r="C100" s="78"/>
      <c r="D100" s="233"/>
      <c r="F100"/>
      <c r="H100" s="260"/>
    </row>
    <row r="101" spans="1:8" ht="12.75" customHeight="1" hidden="1">
      <c r="A101" s="108" t="s">
        <v>255</v>
      </c>
      <c r="B101" s="100" t="s">
        <v>96</v>
      </c>
      <c r="C101" s="78"/>
      <c r="D101" s="233"/>
      <c r="F101"/>
      <c r="H101" s="260"/>
    </row>
    <row r="102" spans="1:8" ht="12.75" customHeight="1" hidden="1">
      <c r="A102" s="108" t="s">
        <v>256</v>
      </c>
      <c r="B102" s="100" t="s">
        <v>95</v>
      </c>
      <c r="C102" s="78"/>
      <c r="D102" s="233"/>
      <c r="F102"/>
      <c r="H102" s="260"/>
    </row>
    <row r="103" spans="1:8" ht="12.75" customHeight="1" hidden="1">
      <c r="A103" s="108" t="s">
        <v>257</v>
      </c>
      <c r="B103" s="100" t="s">
        <v>94</v>
      </c>
      <c r="C103" s="78"/>
      <c r="D103" s="233"/>
      <c r="F103"/>
      <c r="H103" s="260"/>
    </row>
    <row r="104" spans="1:8" ht="12.75" customHeight="1" hidden="1">
      <c r="A104" s="108" t="s">
        <v>258</v>
      </c>
      <c r="B104" s="100" t="s">
        <v>93</v>
      </c>
      <c r="C104" s="78"/>
      <c r="D104" s="233"/>
      <c r="F104"/>
      <c r="H104" s="260"/>
    </row>
    <row r="105" spans="1:8" ht="13.5" customHeight="1" hidden="1" thickBot="1">
      <c r="A105" s="110"/>
      <c r="B105" s="102" t="s">
        <v>92</v>
      </c>
      <c r="C105" s="80"/>
      <c r="D105" s="235"/>
      <c r="F105"/>
      <c r="H105" s="256"/>
    </row>
    <row r="106" spans="1:8" ht="13.5" customHeight="1" hidden="1" thickBot="1">
      <c r="A106" s="107" t="s">
        <v>259</v>
      </c>
      <c r="B106" s="116" t="s">
        <v>91</v>
      </c>
      <c r="C106" s="343"/>
      <c r="D106" s="232">
        <f>SUM(D107:D123)</f>
        <v>0</v>
      </c>
      <c r="F106"/>
      <c r="H106" s="232">
        <f>SUM(H107:H123)</f>
        <v>0</v>
      </c>
    </row>
    <row r="107" spans="1:8" ht="12.75" customHeight="1" hidden="1">
      <c r="A107" s="390" t="s">
        <v>260</v>
      </c>
      <c r="B107" s="390" t="s">
        <v>448</v>
      </c>
      <c r="C107" s="78"/>
      <c r="D107" s="233"/>
      <c r="F107"/>
      <c r="H107" s="260"/>
    </row>
    <row r="108" spans="1:8" ht="12.75" customHeight="1" hidden="1">
      <c r="A108" s="390" t="s">
        <v>261</v>
      </c>
      <c r="B108" s="535" t="s">
        <v>335</v>
      </c>
      <c r="C108" s="536"/>
      <c r="D108" s="233"/>
      <c r="F108"/>
      <c r="H108" s="260"/>
    </row>
    <row r="109" spans="1:8" ht="12.75" customHeight="1" hidden="1">
      <c r="A109" s="390" t="s">
        <v>262</v>
      </c>
      <c r="B109" s="535" t="s">
        <v>90</v>
      </c>
      <c r="C109" s="536"/>
      <c r="D109" s="233"/>
      <c r="F109"/>
      <c r="H109" s="260"/>
    </row>
    <row r="110" spans="1:8" ht="12.75" customHeight="1" hidden="1">
      <c r="A110" s="390" t="s">
        <v>263</v>
      </c>
      <c r="B110" s="535" t="s">
        <v>449</v>
      </c>
      <c r="C110" s="536"/>
      <c r="D110" s="233"/>
      <c r="F110"/>
      <c r="H110" s="260"/>
    </row>
    <row r="111" spans="1:8" ht="12.75" customHeight="1" hidden="1">
      <c r="A111" s="390" t="s">
        <v>264</v>
      </c>
      <c r="B111" s="535" t="s">
        <v>89</v>
      </c>
      <c r="C111" s="536"/>
      <c r="D111" s="233"/>
      <c r="F111"/>
      <c r="H111" s="260"/>
    </row>
    <row r="112" spans="1:8" ht="12.75" customHeight="1" hidden="1">
      <c r="A112" s="390" t="s">
        <v>265</v>
      </c>
      <c r="B112" s="535" t="s">
        <v>450</v>
      </c>
      <c r="C112" s="536"/>
      <c r="D112" s="233"/>
      <c r="F112"/>
      <c r="H112" s="260"/>
    </row>
    <row r="113" spans="1:8" ht="12.75" customHeight="1" hidden="1">
      <c r="A113" s="390" t="s">
        <v>266</v>
      </c>
      <c r="B113" s="535" t="s">
        <v>88</v>
      </c>
      <c r="C113" s="536"/>
      <c r="D113" s="233"/>
      <c r="F113"/>
      <c r="H113" s="260"/>
    </row>
    <row r="114" spans="1:8" ht="12.75" customHeight="1" hidden="1">
      <c r="A114" s="390" t="s">
        <v>392</v>
      </c>
      <c r="B114" s="535" t="s">
        <v>87</v>
      </c>
      <c r="C114" s="536"/>
      <c r="D114" s="233"/>
      <c r="F114"/>
      <c r="H114" s="260"/>
    </row>
    <row r="115" spans="1:8" ht="12.75" customHeight="1" hidden="1">
      <c r="A115" s="390" t="s">
        <v>393</v>
      </c>
      <c r="B115" s="535" t="s">
        <v>451</v>
      </c>
      <c r="C115" s="536"/>
      <c r="D115" s="233"/>
      <c r="F115"/>
      <c r="H115" s="260"/>
    </row>
    <row r="116" spans="1:8" ht="12.75" customHeight="1" hidden="1">
      <c r="A116" s="390" t="s">
        <v>394</v>
      </c>
      <c r="B116" s="535" t="s">
        <v>452</v>
      </c>
      <c r="C116" s="536"/>
      <c r="D116" s="233"/>
      <c r="F116"/>
      <c r="H116" s="260"/>
    </row>
    <row r="117" spans="1:8" ht="12.75" customHeight="1" hidden="1">
      <c r="A117" s="390" t="s">
        <v>267</v>
      </c>
      <c r="B117" s="535" t="s">
        <v>86</v>
      </c>
      <c r="C117" s="536"/>
      <c r="D117" s="233"/>
      <c r="F117"/>
      <c r="H117" s="260"/>
    </row>
    <row r="118" spans="1:8" ht="12.75" customHeight="1" hidden="1">
      <c r="A118" s="390" t="s">
        <v>268</v>
      </c>
      <c r="B118" s="535" t="s">
        <v>85</v>
      </c>
      <c r="C118" s="536"/>
      <c r="D118" s="233"/>
      <c r="F118"/>
      <c r="H118" s="260"/>
    </row>
    <row r="119" spans="1:8" ht="12.75" customHeight="1" hidden="1">
      <c r="A119" s="390" t="s">
        <v>269</v>
      </c>
      <c r="B119" s="535" t="s">
        <v>84</v>
      </c>
      <c r="C119" s="536"/>
      <c r="D119" s="233"/>
      <c r="F119"/>
      <c r="H119" s="260"/>
    </row>
    <row r="120" spans="1:8" ht="12.75" customHeight="1" hidden="1">
      <c r="A120" s="390" t="s">
        <v>270</v>
      </c>
      <c r="B120" s="535" t="s">
        <v>83</v>
      </c>
      <c r="C120" s="536"/>
      <c r="D120" s="233"/>
      <c r="F120"/>
      <c r="H120" s="260"/>
    </row>
    <row r="121" spans="1:8" ht="12.75" customHeight="1" hidden="1">
      <c r="A121" s="390" t="s">
        <v>271</v>
      </c>
      <c r="B121" s="535" t="s">
        <v>82</v>
      </c>
      <c r="C121" s="536"/>
      <c r="D121" s="233"/>
      <c r="F121"/>
      <c r="H121" s="260"/>
    </row>
    <row r="122" spans="1:8" ht="12.75" customHeight="1" hidden="1">
      <c r="A122" s="390" t="s">
        <v>272</v>
      </c>
      <c r="B122" s="535" t="s">
        <v>81</v>
      </c>
      <c r="C122" s="536"/>
      <c r="D122" s="233"/>
      <c r="F122"/>
      <c r="H122" s="260"/>
    </row>
    <row r="123" spans="1:8" ht="13.5" customHeight="1" hidden="1" thickBot="1">
      <c r="A123" s="108"/>
      <c r="B123" s="535" t="s">
        <v>80</v>
      </c>
      <c r="C123" s="536"/>
      <c r="D123" s="233"/>
      <c r="F123"/>
      <c r="H123" s="260"/>
    </row>
    <row r="124" spans="1:8" ht="13.5" customHeight="1" hidden="1" thickBot="1">
      <c r="A124" s="107" t="s">
        <v>273</v>
      </c>
      <c r="B124" s="116" t="s">
        <v>410</v>
      </c>
      <c r="C124" s="343"/>
      <c r="D124" s="232">
        <f>SUM(D125:D136)</f>
        <v>0</v>
      </c>
      <c r="F124"/>
      <c r="H124" s="264">
        <f>SUM(H125:H136)</f>
        <v>0</v>
      </c>
    </row>
    <row r="125" spans="1:8" ht="12.75" customHeight="1" hidden="1">
      <c r="A125" s="390" t="s">
        <v>274</v>
      </c>
      <c r="B125" s="391" t="s">
        <v>371</v>
      </c>
      <c r="C125" s="78"/>
      <c r="D125" s="233"/>
      <c r="F125"/>
      <c r="H125" s="260"/>
    </row>
    <row r="126" spans="1:8" ht="15.75" customHeight="1" hidden="1">
      <c r="A126" s="390" t="s">
        <v>406</v>
      </c>
      <c r="B126" s="391" t="s">
        <v>407</v>
      </c>
      <c r="C126" s="346"/>
      <c r="D126" s="233"/>
      <c r="F126"/>
      <c r="H126" s="260"/>
    </row>
    <row r="127" spans="1:8" ht="24.75" customHeight="1" hidden="1">
      <c r="A127" s="390" t="s">
        <v>408</v>
      </c>
      <c r="B127" s="391" t="s">
        <v>78</v>
      </c>
      <c r="C127" s="346"/>
      <c r="D127" s="233"/>
      <c r="F127"/>
      <c r="H127" s="260"/>
    </row>
    <row r="128" spans="1:8" ht="12.75" customHeight="1" hidden="1">
      <c r="A128" s="390" t="s">
        <v>275</v>
      </c>
      <c r="B128" s="391" t="s">
        <v>77</v>
      </c>
      <c r="C128" s="346"/>
      <c r="D128" s="233"/>
      <c r="F128"/>
      <c r="H128" s="260"/>
    </row>
    <row r="129" spans="1:8" ht="12.75" customHeight="1" hidden="1">
      <c r="A129" s="390" t="s">
        <v>276</v>
      </c>
      <c r="B129" s="535" t="s">
        <v>453</v>
      </c>
      <c r="C129" s="536"/>
      <c r="D129" s="233"/>
      <c r="F129"/>
      <c r="H129" s="260"/>
    </row>
    <row r="130" spans="1:8" ht="12.75" customHeight="1" hidden="1">
      <c r="A130" s="390" t="s">
        <v>454</v>
      </c>
      <c r="B130" s="535" t="s">
        <v>455</v>
      </c>
      <c r="C130" s="536"/>
      <c r="D130" s="233"/>
      <c r="F130"/>
      <c r="H130" s="260"/>
    </row>
    <row r="131" spans="1:8" ht="12.75" customHeight="1" hidden="1">
      <c r="A131" s="390" t="s">
        <v>277</v>
      </c>
      <c r="B131" s="391" t="s">
        <v>386</v>
      </c>
      <c r="C131" s="78"/>
      <c r="D131" s="233"/>
      <c r="F131"/>
      <c r="H131" s="260"/>
    </row>
    <row r="132" spans="1:8" ht="12.75" customHeight="1" hidden="1">
      <c r="A132" s="390" t="s">
        <v>278</v>
      </c>
      <c r="B132" s="391" t="s">
        <v>387</v>
      </c>
      <c r="C132" s="78"/>
      <c r="D132" s="233"/>
      <c r="F132"/>
      <c r="H132" s="260"/>
    </row>
    <row r="133" spans="1:8" ht="12.75" customHeight="1" hidden="1">
      <c r="A133" s="390" t="s">
        <v>390</v>
      </c>
      <c r="B133" s="391" t="s">
        <v>388</v>
      </c>
      <c r="C133" s="78"/>
      <c r="D133" s="233"/>
      <c r="F133"/>
      <c r="H133" s="260"/>
    </row>
    <row r="134" spans="1:8" ht="12.75" customHeight="1" hidden="1">
      <c r="A134" s="390" t="s">
        <v>391</v>
      </c>
      <c r="B134" s="391" t="s">
        <v>389</v>
      </c>
      <c r="C134" s="78"/>
      <c r="D134" s="233"/>
      <c r="F134"/>
      <c r="H134" s="260"/>
    </row>
    <row r="135" spans="1:8" ht="12.75" customHeight="1" hidden="1">
      <c r="A135" s="390" t="s">
        <v>279</v>
      </c>
      <c r="B135" s="391" t="s">
        <v>76</v>
      </c>
      <c r="C135" s="78"/>
      <c r="D135" s="233"/>
      <c r="F135"/>
      <c r="H135" s="260"/>
    </row>
    <row r="136" spans="1:8" ht="13.5" customHeight="1" hidden="1" thickBot="1">
      <c r="A136" s="390"/>
      <c r="B136" s="391" t="s">
        <v>75</v>
      </c>
      <c r="C136" s="78"/>
      <c r="D136" s="233"/>
      <c r="F136"/>
      <c r="H136" s="260"/>
    </row>
    <row r="137" spans="1:8" ht="13.5" customHeight="1" hidden="1" thickBot="1">
      <c r="A137" s="107" t="s">
        <v>280</v>
      </c>
      <c r="B137" s="116" t="s">
        <v>74</v>
      </c>
      <c r="C137" s="343"/>
      <c r="D137" s="232">
        <f>SUM(D138:D152)</f>
        <v>0</v>
      </c>
      <c r="F137"/>
      <c r="H137" s="259">
        <f>SUM(H138:H152)</f>
        <v>0</v>
      </c>
    </row>
    <row r="138" spans="1:8" ht="12.75" customHeight="1" hidden="1">
      <c r="A138" s="108" t="s">
        <v>281</v>
      </c>
      <c r="B138" s="117" t="s">
        <v>73</v>
      </c>
      <c r="C138" s="346"/>
      <c r="D138" s="233"/>
      <c r="F138"/>
      <c r="H138" s="260"/>
    </row>
    <row r="139" spans="1:8" ht="12.75" customHeight="1" hidden="1">
      <c r="A139" s="108" t="s">
        <v>282</v>
      </c>
      <c r="B139" s="100" t="s">
        <v>72</v>
      </c>
      <c r="C139" s="78"/>
      <c r="D139" s="233"/>
      <c r="F139"/>
      <c r="H139" s="260"/>
    </row>
    <row r="140" spans="1:8" ht="12.75" customHeight="1" hidden="1">
      <c r="A140" s="108" t="s">
        <v>283</v>
      </c>
      <c r="B140" s="100" t="s">
        <v>71</v>
      </c>
      <c r="C140" s="78"/>
      <c r="D140" s="233"/>
      <c r="F140"/>
      <c r="H140" s="260"/>
    </row>
    <row r="141" spans="1:8" ht="12.75" customHeight="1" hidden="1">
      <c r="A141" s="108" t="s">
        <v>284</v>
      </c>
      <c r="B141" s="100" t="s">
        <v>70</v>
      </c>
      <c r="C141" s="78"/>
      <c r="D141" s="233"/>
      <c r="F141"/>
      <c r="H141" s="260"/>
    </row>
    <row r="142" spans="1:8" ht="12.75" customHeight="1" hidden="1">
      <c r="A142" s="108" t="s">
        <v>285</v>
      </c>
      <c r="B142" s="100" t="s">
        <v>69</v>
      </c>
      <c r="C142" s="78"/>
      <c r="D142" s="233"/>
      <c r="F142"/>
      <c r="H142" s="260"/>
    </row>
    <row r="143" spans="1:8" ht="12.75" customHeight="1" hidden="1">
      <c r="A143" s="108" t="s">
        <v>286</v>
      </c>
      <c r="B143" s="117" t="s">
        <v>68</v>
      </c>
      <c r="C143" s="346"/>
      <c r="D143" s="233"/>
      <c r="F143"/>
      <c r="H143" s="260"/>
    </row>
    <row r="144" spans="1:8" ht="12.75" customHeight="1" hidden="1">
      <c r="A144" s="108" t="s">
        <v>287</v>
      </c>
      <c r="B144" s="100" t="s">
        <v>67</v>
      </c>
      <c r="C144" s="78"/>
      <c r="D144" s="233"/>
      <c r="F144"/>
      <c r="H144" s="260"/>
    </row>
    <row r="145" spans="1:8" ht="12.75" customHeight="1" hidden="1">
      <c r="A145" s="108" t="s">
        <v>288</v>
      </c>
      <c r="B145" s="100" t="s">
        <v>66</v>
      </c>
      <c r="C145" s="83"/>
      <c r="D145" s="233"/>
      <c r="F145"/>
      <c r="H145" s="260"/>
    </row>
    <row r="146" spans="1:8" ht="12.75" customHeight="1" hidden="1">
      <c r="A146" s="108" t="s">
        <v>289</v>
      </c>
      <c r="B146" s="100" t="s">
        <v>65</v>
      </c>
      <c r="C146" s="83"/>
      <c r="D146" s="233"/>
      <c r="F146"/>
      <c r="H146" s="260"/>
    </row>
    <row r="147" spans="1:8" ht="12.75" customHeight="1" hidden="1">
      <c r="A147" s="108" t="s">
        <v>290</v>
      </c>
      <c r="B147" s="100" t="s">
        <v>64</v>
      </c>
      <c r="C147" s="83"/>
      <c r="D147" s="233"/>
      <c r="F147"/>
      <c r="H147" s="260"/>
    </row>
    <row r="148" spans="1:8" ht="12.75" customHeight="1" hidden="1">
      <c r="A148" s="108" t="s">
        <v>291</v>
      </c>
      <c r="B148" s="100" t="s">
        <v>63</v>
      </c>
      <c r="C148" s="83"/>
      <c r="D148" s="233"/>
      <c r="F148"/>
      <c r="H148" s="260"/>
    </row>
    <row r="149" spans="1:8" ht="12.75" customHeight="1" hidden="1">
      <c r="A149" s="108" t="s">
        <v>292</v>
      </c>
      <c r="B149" s="113" t="s">
        <v>62</v>
      </c>
      <c r="C149" s="83"/>
      <c r="D149" s="234"/>
      <c r="F149"/>
      <c r="H149" s="262"/>
    </row>
    <row r="150" spans="1:8" ht="12.75" customHeight="1" hidden="1">
      <c r="A150" s="108" t="s">
        <v>293</v>
      </c>
      <c r="B150" s="100" t="s">
        <v>61</v>
      </c>
      <c r="C150" s="83"/>
      <c r="D150" s="233"/>
      <c r="F150"/>
      <c r="H150" s="260"/>
    </row>
    <row r="151" spans="1:8" ht="12.75" customHeight="1" hidden="1">
      <c r="A151" s="108" t="s">
        <v>294</v>
      </c>
      <c r="B151" s="100" t="s">
        <v>60</v>
      </c>
      <c r="C151" s="83"/>
      <c r="D151" s="233"/>
      <c r="F151"/>
      <c r="H151" s="260"/>
    </row>
    <row r="152" spans="1:8" ht="13.5" customHeight="1" hidden="1" thickBot="1">
      <c r="A152" s="111"/>
      <c r="B152" s="100" t="s">
        <v>59</v>
      </c>
      <c r="C152" s="83"/>
      <c r="D152" s="233"/>
      <c r="F152"/>
      <c r="H152" s="260"/>
    </row>
    <row r="153" spans="1:8" ht="13.5" customHeight="1" hidden="1" thickBot="1">
      <c r="A153" s="112"/>
      <c r="B153" s="118"/>
      <c r="C153" s="86"/>
      <c r="D153" s="239"/>
      <c r="F153" s="527"/>
      <c r="H153" s="412"/>
    </row>
    <row r="154" spans="1:8" ht="22.5" thickBot="1">
      <c r="A154" s="98"/>
      <c r="B154" s="54" t="s">
        <v>58</v>
      </c>
      <c r="C154" s="54"/>
      <c r="D154" s="53" t="s">
        <v>57</v>
      </c>
      <c r="F154" s="528"/>
      <c r="H154" s="53" t="s">
        <v>57</v>
      </c>
    </row>
    <row r="155" spans="1:8" ht="13.5" thickBot="1">
      <c r="A155" s="103"/>
      <c r="B155" s="413"/>
      <c r="C155" s="413"/>
      <c r="D155" s="414"/>
      <c r="F155" s="415"/>
      <c r="H155" s="416"/>
    </row>
    <row r="156" spans="1:9" ht="12.75">
      <c r="A156" s="103"/>
      <c r="B156" s="68" t="s">
        <v>56</v>
      </c>
      <c r="C156" s="87"/>
      <c r="D156" s="330">
        <f>H156+D49</f>
        <v>6327316</v>
      </c>
      <c r="E156" s="6" t="s">
        <v>365</v>
      </c>
      <c r="F156" s="330" t="s">
        <v>366</v>
      </c>
      <c r="H156" s="220">
        <v>5565397</v>
      </c>
      <c r="I156" s="335" t="s">
        <v>398</v>
      </c>
    </row>
    <row r="157" spans="1:9" ht="23.25" thickBot="1">
      <c r="A157" s="103"/>
      <c r="B157" s="52"/>
      <c r="C157" s="18" t="s">
        <v>382</v>
      </c>
      <c r="D157" s="218"/>
      <c r="F157" s="50"/>
      <c r="H157" s="214"/>
      <c r="I157" s="335" t="s">
        <v>399</v>
      </c>
    </row>
    <row r="158" spans="1:9" ht="13.5" thickBot="1">
      <c r="A158" s="101"/>
      <c r="B158" s="88" t="s">
        <v>307</v>
      </c>
      <c r="C158" s="89"/>
      <c r="D158" s="331">
        <f>H158+D52</f>
        <v>0.40000000002328306</v>
      </c>
      <c r="E158" s="6" t="s">
        <v>365</v>
      </c>
      <c r="F158" s="330" t="s">
        <v>366</v>
      </c>
      <c r="H158" s="240">
        <v>378508.4</v>
      </c>
      <c r="I158" s="335" t="s">
        <v>400</v>
      </c>
    </row>
    <row r="159" spans="1:8" ht="12.75">
      <c r="A159" s="114" t="s">
        <v>55</v>
      </c>
      <c r="B159" s="90"/>
      <c r="D159" s="241"/>
      <c r="F159" s="50"/>
      <c r="H159" s="241"/>
    </row>
    <row r="160" spans="1:8" ht="12.75">
      <c r="A160" s="114" t="s">
        <v>54</v>
      </c>
      <c r="B160" s="90"/>
      <c r="D160" s="241"/>
      <c r="F160" s="50"/>
      <c r="H160" s="241"/>
    </row>
    <row r="161" spans="1:8" ht="12.75">
      <c r="A161" s="135" t="s">
        <v>49</v>
      </c>
      <c r="B161" s="51"/>
      <c r="D161" s="242">
        <f>IF(D156-D158&lt;0,0,D156-D158)/D6</f>
        <v>0.5288465334990475</v>
      </c>
      <c r="F161" s="135"/>
      <c r="H161" s="242">
        <f>IF(H156-H158&lt;0,0,H156-H158)/H6</f>
        <v>0.44745940464822975</v>
      </c>
    </row>
    <row r="162" spans="1:11" s="91" customFormat="1" ht="12.75">
      <c r="A162" s="192" t="s">
        <v>180</v>
      </c>
      <c r="D162" s="268">
        <f>D48+D49-D52+D53</f>
        <v>0</v>
      </c>
      <c r="E162"/>
      <c r="H162" s="268">
        <f>H48+H49-H52+H53</f>
        <v>7.962626114021987E-10</v>
      </c>
      <c r="I162"/>
      <c r="J162"/>
      <c r="K162"/>
    </row>
    <row r="163" spans="1:11" s="91" customFormat="1" ht="12.75">
      <c r="A163" s="269"/>
      <c r="B163"/>
      <c r="C163"/>
      <c r="D163" s="267"/>
      <c r="E163"/>
      <c r="H163" s="272"/>
      <c r="I163"/>
      <c r="J163"/>
      <c r="K163"/>
    </row>
    <row r="164" spans="1:11" s="439" customFormat="1" ht="12.75">
      <c r="A164" s="433" t="s">
        <v>369</v>
      </c>
      <c r="B164" s="434"/>
      <c r="C164" s="435"/>
      <c r="D164" s="436" t="str">
        <f>IF(ROUND(SUM(-D24-D37-D39-D41-D43-D45-D47),2)=ROUND(D55,2),"OK",CONCATENATE("Vahe=",ROUND(SUM(-D24-D37-D39-D41-D43-D45-D47)-D55,2)))</f>
        <v>Vahe=14031282</v>
      </c>
      <c r="E164" s="437"/>
      <c r="F164" s="438"/>
      <c r="G164" s="438"/>
      <c r="H164" s="436" t="str">
        <f>IF(ROUND(SUM(-H24-H37-H39-H41-H43-H45-H47),2)=ROUND(H55,2),"OK",CONCATENATE("Vahe=",ROUND(SUM(-H24-H37-H39-H41-H43-H45-H47)-H55,2)))</f>
        <v>Vahe=11959667.47</v>
      </c>
      <c r="I164" s="437"/>
      <c r="J164"/>
      <c r="K164" s="437"/>
    </row>
    <row r="165" spans="1:11" s="91" customFormat="1" ht="12.75">
      <c r="A165" s="270"/>
      <c r="B165"/>
      <c r="C165"/>
      <c r="D165" s="271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3"/>
      <c r="E166"/>
      <c r="F166"/>
      <c r="G166" s="266"/>
      <c r="H166" s="266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0" sqref="A140"/>
    </sheetView>
  </sheetViews>
  <sheetFormatPr defaultColWidth="9.140625" defaultRowHeight="12.75"/>
  <cols>
    <col min="1" max="1" width="47.28125" style="349" customWidth="1"/>
    <col min="2" max="2" width="10.8515625" style="349" customWidth="1"/>
    <col min="3" max="3" width="10.7109375" style="349" customWidth="1"/>
    <col min="4" max="5" width="11.00390625" style="349" customWidth="1"/>
    <col min="6" max="6" width="10.8515625" style="349" customWidth="1"/>
    <col min="7" max="7" width="11.7109375" style="349" customWidth="1"/>
    <col min="8" max="8" width="10.140625" style="312" customWidth="1"/>
    <col min="9" max="9" width="18.7109375" style="349" customWidth="1"/>
    <col min="10" max="10" width="32.57421875" style="349" customWidth="1"/>
    <col min="11" max="11" width="20.00390625" style="349" customWidth="1"/>
    <col min="12" max="13" width="9.140625" style="349" customWidth="1"/>
    <col min="14" max="14" width="53.28125" style="349" customWidth="1"/>
    <col min="15" max="16" width="9.140625" style="349" customWidth="1"/>
    <col min="17" max="17" width="51.00390625" style="349" customWidth="1"/>
    <col min="18" max="16384" width="9.140625" style="349" customWidth="1"/>
  </cols>
  <sheetData>
    <row r="1" spans="1:11" ht="54.75" customHeight="1" thickBot="1">
      <c r="A1" s="60" t="s">
        <v>433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  <c r="H1" s="479"/>
      <c r="I1" s="400" t="s">
        <v>296</v>
      </c>
      <c r="J1" s="428" t="s">
        <v>420</v>
      </c>
      <c r="K1" s="333" t="s">
        <v>457</v>
      </c>
    </row>
    <row r="2" spans="1:10" ht="15" customHeight="1">
      <c r="A2" s="350" t="s">
        <v>0</v>
      </c>
      <c r="B2" s="42">
        <f aca="true" t="shared" si="0" ref="B2:G2">B3+B7+B8+B12</f>
        <v>11591864.08</v>
      </c>
      <c r="C2" s="42">
        <f t="shared" si="0"/>
        <v>11964370</v>
      </c>
      <c r="D2" s="42">
        <f t="shared" si="0"/>
        <v>11982275</v>
      </c>
      <c r="E2" s="42">
        <f t="shared" si="0"/>
        <v>12236805</v>
      </c>
      <c r="F2" s="42">
        <f t="shared" si="0"/>
        <v>12507173</v>
      </c>
      <c r="G2" s="43">
        <f t="shared" si="0"/>
        <v>12873732</v>
      </c>
      <c r="H2" s="480"/>
      <c r="I2" s="312"/>
      <c r="J2" s="427" t="s">
        <v>344</v>
      </c>
    </row>
    <row r="3" spans="1:8" ht="12.75">
      <c r="A3" s="351" t="s">
        <v>30</v>
      </c>
      <c r="B3" s="27">
        <f aca="true" t="shared" si="1" ref="B3:G3">SUM(B4:B6)</f>
        <v>5685325.8</v>
      </c>
      <c r="C3" s="27">
        <f>SUM(C4:C6)</f>
        <v>5312154</v>
      </c>
      <c r="D3" s="27">
        <f t="shared" si="1"/>
        <v>5594100</v>
      </c>
      <c r="E3" s="27">
        <f t="shared" si="1"/>
        <v>5674100</v>
      </c>
      <c r="F3" s="27">
        <f t="shared" si="1"/>
        <v>5753100</v>
      </c>
      <c r="G3" s="33">
        <f t="shared" si="1"/>
        <v>5952235</v>
      </c>
      <c r="H3" s="481"/>
    </row>
    <row r="4" spans="1:13" ht="12.75">
      <c r="A4" s="351" t="s">
        <v>43</v>
      </c>
      <c r="B4" s="92">
        <f>Eelarvearuanne!H8</f>
        <v>5235609.58</v>
      </c>
      <c r="C4" s="92">
        <f>Eelarvearuanne!D8</f>
        <v>4863570</v>
      </c>
      <c r="D4" s="352">
        <v>5145500</v>
      </c>
      <c r="E4" s="352">
        <v>5225500</v>
      </c>
      <c r="F4" s="352">
        <v>5304500</v>
      </c>
      <c r="G4" s="353">
        <v>5503635</v>
      </c>
      <c r="H4" s="473"/>
      <c r="I4" s="388">
        <f>C4/B4-1</f>
        <v>-0.07105945818060788</v>
      </c>
      <c r="J4" s="388">
        <f>D4/C4-1</f>
        <v>0.05796770684908403</v>
      </c>
      <c r="K4" s="388">
        <f>E4/D4-1</f>
        <v>0.01554756583422412</v>
      </c>
      <c r="L4" s="388">
        <f>F4/E4-1</f>
        <v>0.015118170509998974</v>
      </c>
      <c r="M4" s="388">
        <f>G4/F4-1</f>
        <v>0.0375407672730701</v>
      </c>
    </row>
    <row r="5" spans="1:8" ht="12.75">
      <c r="A5" s="351" t="s">
        <v>44</v>
      </c>
      <c r="B5" s="92">
        <f>Eelarvearuanne!H9</f>
        <v>449716.22</v>
      </c>
      <c r="C5" s="92">
        <f>Eelarvearuanne!D9</f>
        <v>448584</v>
      </c>
      <c r="D5" s="352">
        <v>448600</v>
      </c>
      <c r="E5" s="352">
        <v>448600</v>
      </c>
      <c r="F5" s="352">
        <v>448600</v>
      </c>
      <c r="G5" s="353">
        <v>448600</v>
      </c>
      <c r="H5" s="473"/>
    </row>
    <row r="6" spans="1:8" ht="12.75">
      <c r="A6" s="351" t="s">
        <v>45</v>
      </c>
      <c r="B6" s="92">
        <f>Eelarvearuanne!H7-Eelarvearuanne!H8-Eelarvearuanne!H9</f>
        <v>0</v>
      </c>
      <c r="C6" s="92">
        <f>Eelarvearuanne!D7-Eelarvearuanne!D8-Eelarvearuanne!D9</f>
        <v>0</v>
      </c>
      <c r="D6" s="352">
        <v>0</v>
      </c>
      <c r="E6" s="352">
        <v>0</v>
      </c>
      <c r="F6" s="352">
        <v>0</v>
      </c>
      <c r="G6" s="353">
        <v>0</v>
      </c>
      <c r="H6" s="473"/>
    </row>
    <row r="7" spans="1:13" ht="12.75">
      <c r="A7" s="351" t="s">
        <v>31</v>
      </c>
      <c r="B7" s="93">
        <f>Eelarvearuanne!H14</f>
        <v>1256047.61</v>
      </c>
      <c r="C7" s="93">
        <f>Eelarvearuanne!D14</f>
        <v>1313325</v>
      </c>
      <c r="D7" s="352">
        <v>1490000</v>
      </c>
      <c r="E7" s="352">
        <v>1490000</v>
      </c>
      <c r="F7" s="352">
        <v>1490000</v>
      </c>
      <c r="G7" s="352">
        <v>1490000</v>
      </c>
      <c r="H7" s="473"/>
      <c r="I7" s="388">
        <f>C7/B7-1</f>
        <v>0.045601288951140795</v>
      </c>
      <c r="J7" s="388">
        <f>D7/C7-1</f>
        <v>0.13452496525993185</v>
      </c>
      <c r="K7" s="388">
        <f>E7/D7-1</f>
        <v>0</v>
      </c>
      <c r="L7" s="388">
        <f>F7/E7-1</f>
        <v>0</v>
      </c>
      <c r="M7" s="388">
        <f>G7/F7-1</f>
        <v>0</v>
      </c>
    </row>
    <row r="8" spans="1:8" ht="12.75">
      <c r="A8" s="351" t="s">
        <v>203</v>
      </c>
      <c r="B8" s="41">
        <f aca="true" t="shared" si="2" ref="B8:G8">SUM(B9:B11)</f>
        <v>4622882.9</v>
      </c>
      <c r="C8" s="27">
        <f t="shared" si="2"/>
        <v>5308891</v>
      </c>
      <c r="D8" s="27">
        <f t="shared" si="2"/>
        <v>4873175</v>
      </c>
      <c r="E8" s="27">
        <f t="shared" si="2"/>
        <v>5047705</v>
      </c>
      <c r="F8" s="27">
        <f t="shared" si="2"/>
        <v>5239073</v>
      </c>
      <c r="G8" s="33">
        <f t="shared" si="2"/>
        <v>5406497</v>
      </c>
      <c r="H8" s="481"/>
    </row>
    <row r="9" spans="1:11" ht="12.75">
      <c r="A9" s="351" t="s">
        <v>414</v>
      </c>
      <c r="B9" s="93">
        <f>Eelarvearuanne!H16</f>
        <v>1366122</v>
      </c>
      <c r="C9" s="93">
        <f>Eelarvearuanne!D16</f>
        <v>1624029</v>
      </c>
      <c r="D9" s="352">
        <v>1808055</v>
      </c>
      <c r="E9" s="352">
        <v>2021705</v>
      </c>
      <c r="F9" s="352">
        <v>2213073</v>
      </c>
      <c r="G9" s="353">
        <v>2375497</v>
      </c>
      <c r="H9" s="473"/>
      <c r="I9" s="312"/>
      <c r="J9" s="312"/>
      <c r="K9" s="312"/>
    </row>
    <row r="10" spans="1:11" ht="12.75">
      <c r="A10" s="351" t="s">
        <v>415</v>
      </c>
      <c r="B10" s="93">
        <f>Eelarvearuanne!H17</f>
        <v>3032813</v>
      </c>
      <c r="C10" s="93">
        <f>Eelarvearuanne!D17</f>
        <v>3537188</v>
      </c>
      <c r="D10" s="352">
        <v>2995000</v>
      </c>
      <c r="E10" s="352">
        <v>2951000</v>
      </c>
      <c r="F10" s="352">
        <v>2951000</v>
      </c>
      <c r="G10" s="352">
        <v>2951000</v>
      </c>
      <c r="H10" s="473"/>
      <c r="I10" s="157" t="s">
        <v>405</v>
      </c>
      <c r="K10" s="461"/>
    </row>
    <row r="11" spans="1:9" ht="12.75">
      <c r="A11" s="351" t="s">
        <v>204</v>
      </c>
      <c r="B11" s="93">
        <f>Eelarvearuanne!H18</f>
        <v>223947.9</v>
      </c>
      <c r="C11" s="93">
        <f>Eelarvearuanne!D18</f>
        <v>147674</v>
      </c>
      <c r="D11" s="352">
        <v>70120</v>
      </c>
      <c r="E11" s="352">
        <v>75000</v>
      </c>
      <c r="F11" s="352">
        <v>75000</v>
      </c>
      <c r="G11" s="353">
        <v>80000</v>
      </c>
      <c r="H11" s="473"/>
      <c r="I11" s="354" t="s">
        <v>444</v>
      </c>
    </row>
    <row r="12" spans="1:9" ht="12.75">
      <c r="A12" s="351" t="s">
        <v>32</v>
      </c>
      <c r="B12" s="93">
        <f>Eelarvearuanne!H19</f>
        <v>27607.77</v>
      </c>
      <c r="C12" s="93">
        <f>Eelarvearuanne!D19</f>
        <v>30000</v>
      </c>
      <c r="D12" s="352">
        <v>25000</v>
      </c>
      <c r="E12" s="352">
        <v>25000</v>
      </c>
      <c r="F12" s="352">
        <v>25000</v>
      </c>
      <c r="G12" s="353">
        <v>25000</v>
      </c>
      <c r="H12" s="473"/>
      <c r="I12" s="349" t="s">
        <v>308</v>
      </c>
    </row>
    <row r="13" spans="1:8" ht="12.75">
      <c r="A13" s="355" t="s">
        <v>1</v>
      </c>
      <c r="B13" s="172">
        <f aca="true" t="shared" si="3" ref="B13:G13">SUM(B14:B15)</f>
        <v>10503671.79</v>
      </c>
      <c r="C13" s="172">
        <f>C14+C15</f>
        <v>10880989</v>
      </c>
      <c r="D13" s="30">
        <f t="shared" si="3"/>
        <v>10960385</v>
      </c>
      <c r="E13" s="30">
        <f t="shared" si="3"/>
        <v>11187210.73</v>
      </c>
      <c r="F13" s="30">
        <f t="shared" si="3"/>
        <v>11434071.7155</v>
      </c>
      <c r="G13" s="44">
        <f t="shared" si="3"/>
        <v>11722393.623837002</v>
      </c>
      <c r="H13" s="482"/>
    </row>
    <row r="14" spans="1:8" ht="12.75">
      <c r="A14" s="351" t="s">
        <v>205</v>
      </c>
      <c r="B14" s="93">
        <f>-Eelarvearuanne!H25</f>
        <v>643377.78</v>
      </c>
      <c r="C14" s="93">
        <f>-Eelarvearuanne!D25</f>
        <v>766014</v>
      </c>
      <c r="D14" s="352">
        <v>687000</v>
      </c>
      <c r="E14" s="352">
        <v>657000</v>
      </c>
      <c r="F14" s="352">
        <v>629000</v>
      </c>
      <c r="G14" s="353">
        <v>635000</v>
      </c>
      <c r="H14" s="473"/>
    </row>
    <row r="15" spans="1:8" ht="12.75">
      <c r="A15" s="351" t="s">
        <v>33</v>
      </c>
      <c r="B15" s="41">
        <f aca="true" t="shared" si="4" ref="B15:G15">B16+B17+B19</f>
        <v>9860294.01</v>
      </c>
      <c r="C15" s="41">
        <f t="shared" si="4"/>
        <v>10114975</v>
      </c>
      <c r="D15" s="410">
        <f t="shared" si="4"/>
        <v>10273385</v>
      </c>
      <c r="E15" s="410">
        <f t="shared" si="4"/>
        <v>10530210.73</v>
      </c>
      <c r="F15" s="410">
        <f t="shared" si="4"/>
        <v>10805071.7155</v>
      </c>
      <c r="G15" s="411">
        <f t="shared" si="4"/>
        <v>11087393.623837002</v>
      </c>
      <c r="H15" s="481"/>
    </row>
    <row r="16" spans="1:13" ht="12.75">
      <c r="A16" s="351" t="s">
        <v>10</v>
      </c>
      <c r="B16" s="93">
        <f>-Eelarvearuanne!H31</f>
        <v>5882818.64</v>
      </c>
      <c r="C16" s="93">
        <f>-Eelarvearuanne!D31</f>
        <v>6291919</v>
      </c>
      <c r="D16" s="356">
        <v>6365803</v>
      </c>
      <c r="E16" s="356">
        <f>D16*1.03-11100</f>
        <v>6545677.09</v>
      </c>
      <c r="F16" s="356">
        <f>E16*1.03</f>
        <v>6742047.4027</v>
      </c>
      <c r="G16" s="356">
        <f>F16*1.03</f>
        <v>6944308.824781001</v>
      </c>
      <c r="H16" s="474"/>
      <c r="I16" s="388">
        <f>C16/B16-1</f>
        <v>0.06954155567848685</v>
      </c>
      <c r="J16" s="388">
        <f aca="true" t="shared" si="5" ref="I16:M17">D16/C16-1</f>
        <v>0.01174268136636858</v>
      </c>
      <c r="K16" s="388">
        <f t="shared" si="5"/>
        <v>0.028256307963033134</v>
      </c>
      <c r="L16" s="388">
        <f t="shared" si="5"/>
        <v>0.030000000000000027</v>
      </c>
      <c r="M16" s="388">
        <f t="shared" si="5"/>
        <v>0.030000000000000027</v>
      </c>
    </row>
    <row r="17" spans="1:13" ht="12.75">
      <c r="A17" s="351" t="s">
        <v>17</v>
      </c>
      <c r="B17" s="93">
        <f>-Eelarvearuanne!H32</f>
        <v>3965316.38</v>
      </c>
      <c r="C17" s="93">
        <f>-Eelarvearuanne!D32</f>
        <v>3807607</v>
      </c>
      <c r="D17" s="356">
        <v>3847582</v>
      </c>
      <c r="E17" s="356">
        <f>D17*1.02</f>
        <v>3924533.64</v>
      </c>
      <c r="F17" s="356">
        <f>E17*1.02</f>
        <v>4003024.3128000004</v>
      </c>
      <c r="G17" s="356">
        <f>F17*1.02</f>
        <v>4083084.7990560005</v>
      </c>
      <c r="H17" s="474"/>
      <c r="I17" s="388">
        <f t="shared" si="5"/>
        <v>-0.03977220602004017</v>
      </c>
      <c r="J17" s="388">
        <f t="shared" si="5"/>
        <v>0.010498720062233291</v>
      </c>
      <c r="K17" s="388">
        <f t="shared" si="5"/>
        <v>0.020000000000000018</v>
      </c>
      <c r="L17" s="388">
        <f t="shared" si="5"/>
        <v>0.020000000000000018</v>
      </c>
      <c r="M17" s="388">
        <f t="shared" si="5"/>
        <v>0.020000000000000018</v>
      </c>
    </row>
    <row r="18" spans="1:14" ht="12.75">
      <c r="A18" s="358" t="s">
        <v>351</v>
      </c>
      <c r="B18" s="279"/>
      <c r="C18" s="279"/>
      <c r="D18" s="359"/>
      <c r="E18" s="359"/>
      <c r="F18" s="359"/>
      <c r="G18" s="360"/>
      <c r="H18" s="474"/>
      <c r="I18" s="420" t="s">
        <v>425</v>
      </c>
      <c r="J18" s="361"/>
      <c r="K18"/>
      <c r="L18"/>
      <c r="M18"/>
      <c r="N18"/>
    </row>
    <row r="19" spans="1:14" ht="12.75">
      <c r="A19" s="351" t="s">
        <v>18</v>
      </c>
      <c r="B19" s="93">
        <f>-Eelarvearuanne!H33</f>
        <v>12158.99</v>
      </c>
      <c r="C19" s="93">
        <f>-Eelarvearuanne!D33</f>
        <v>15449</v>
      </c>
      <c r="D19" s="352">
        <v>60000</v>
      </c>
      <c r="E19" s="352">
        <v>60000</v>
      </c>
      <c r="F19" s="352">
        <v>60000</v>
      </c>
      <c r="G19" s="353">
        <v>60000</v>
      </c>
      <c r="H19" s="473"/>
      <c r="I19" s="389" t="s">
        <v>418</v>
      </c>
      <c r="L19"/>
      <c r="M19"/>
      <c r="N19"/>
    </row>
    <row r="20" spans="1:11" ht="12.75">
      <c r="A20" s="362" t="s">
        <v>206</v>
      </c>
      <c r="B20" s="45">
        <f aca="true" t="shared" si="6" ref="B20:G20">B2-B13</f>
        <v>1088192.290000001</v>
      </c>
      <c r="C20" s="25">
        <f t="shared" si="6"/>
        <v>1083381</v>
      </c>
      <c r="D20" s="25">
        <f>D2-D13</f>
        <v>1021890</v>
      </c>
      <c r="E20" s="25">
        <f t="shared" si="6"/>
        <v>1049594.2699999996</v>
      </c>
      <c r="F20" s="25">
        <f t="shared" si="6"/>
        <v>1073101.2844999991</v>
      </c>
      <c r="G20" s="26">
        <f t="shared" si="6"/>
        <v>1151338.3761629984</v>
      </c>
      <c r="H20" s="483"/>
      <c r="I20" s="389" t="s">
        <v>372</v>
      </c>
      <c r="J20" s="312"/>
      <c r="K20" s="312"/>
    </row>
    <row r="21" spans="1:11" ht="12.75">
      <c r="A21" s="9" t="s">
        <v>2</v>
      </c>
      <c r="B21" s="45">
        <f aca="true" t="shared" si="7" ref="B21:G21">B22+B23+B25+B26+B27+B28+B29+B30+B31+B32</f>
        <v>-679358.0000000001</v>
      </c>
      <c r="C21" s="45">
        <f>C22+C23+C25+C26+C27+C28+C29+C30+C31+C32</f>
        <v>-2223808</v>
      </c>
      <c r="D21" s="45">
        <f>D22+D23+D25+D26+D27+D28+D29+D30+D31+D32</f>
        <v>-1653612</v>
      </c>
      <c r="E21" s="45">
        <f t="shared" si="7"/>
        <v>-372048</v>
      </c>
      <c r="F21" s="45">
        <f t="shared" si="7"/>
        <v>-251785</v>
      </c>
      <c r="G21" s="26">
        <f t="shared" si="7"/>
        <v>-267236</v>
      </c>
      <c r="H21" s="483"/>
      <c r="K21" s="312"/>
    </row>
    <row r="22" spans="1:11" ht="12.75" customHeight="1">
      <c r="A22" s="10" t="s">
        <v>35</v>
      </c>
      <c r="B22" s="93">
        <f>Eelarvearuanne!H36</f>
        <v>28250</v>
      </c>
      <c r="C22" s="93">
        <f>Eelarvearuanne!D36</f>
        <v>22700</v>
      </c>
      <c r="D22" s="352">
        <v>20000</v>
      </c>
      <c r="E22" s="352">
        <v>20000</v>
      </c>
      <c r="F22" s="352">
        <v>20000</v>
      </c>
      <c r="G22" s="353">
        <v>20000</v>
      </c>
      <c r="H22" s="473"/>
      <c r="I22" s="363"/>
      <c r="J22" s="363"/>
      <c r="K22" s="312"/>
    </row>
    <row r="23" spans="1:14" ht="12.75" customHeight="1">
      <c r="A23" s="10" t="s">
        <v>36</v>
      </c>
      <c r="B23" s="93">
        <f>Eelarvearuanne!H37</f>
        <v>-1174688</v>
      </c>
      <c r="C23" s="404">
        <f>Eelarvearuanne!D37</f>
        <v>-2646179</v>
      </c>
      <c r="D23" s="364">
        <f>-D88</f>
        <v>-2557043</v>
      </c>
      <c r="E23" s="364">
        <f>-E88</f>
        <v>-423269</v>
      </c>
      <c r="F23" s="364">
        <f>-F88</f>
        <v>-200000</v>
      </c>
      <c r="G23" s="401">
        <f>-G88</f>
        <v>-200000</v>
      </c>
      <c r="H23" s="473"/>
      <c r="I23" s="354" t="s">
        <v>360</v>
      </c>
      <c r="J23" s="312"/>
      <c r="K23"/>
      <c r="L23"/>
      <c r="M23"/>
      <c r="N23"/>
    </row>
    <row r="24" spans="1:11" ht="12.75">
      <c r="A24" s="11" t="s">
        <v>34</v>
      </c>
      <c r="B24" s="93">
        <f>-(-B23-B25)</f>
        <v>-426484.79000000004</v>
      </c>
      <c r="C24" s="365">
        <f>-C90</f>
        <v>-1936577</v>
      </c>
      <c r="D24" s="365">
        <f>-D90</f>
        <v>-1482172</v>
      </c>
      <c r="E24" s="365">
        <f>-E90</f>
        <v>-298269</v>
      </c>
      <c r="F24" s="365">
        <f>-F90</f>
        <v>-200000</v>
      </c>
      <c r="G24" s="402">
        <f>-G90</f>
        <v>-200000</v>
      </c>
      <c r="H24" s="474"/>
      <c r="I24" s="354" t="s">
        <v>360</v>
      </c>
      <c r="J24" s="312"/>
      <c r="K24" s="312"/>
    </row>
    <row r="25" spans="1:14" ht="12.75" customHeight="1">
      <c r="A25" s="12" t="s">
        <v>37</v>
      </c>
      <c r="B25" s="93">
        <f>Eelarvearuanne!H38</f>
        <v>748203.21</v>
      </c>
      <c r="C25" s="366">
        <f>Eelarvearuanne!D38</f>
        <v>903785</v>
      </c>
      <c r="D25" s="365">
        <f>D89+40000</f>
        <v>1114871</v>
      </c>
      <c r="E25" s="365">
        <f>E89+40000</f>
        <v>165000</v>
      </c>
      <c r="F25" s="365">
        <f>F89+40000</f>
        <v>40000</v>
      </c>
      <c r="G25" s="402">
        <f>G89+40000</f>
        <v>40000</v>
      </c>
      <c r="H25" s="474"/>
      <c r="I25" s="354" t="s">
        <v>434</v>
      </c>
      <c r="J25" s="312"/>
      <c r="K25" s="354"/>
      <c r="L25" s="312"/>
      <c r="M25" s="312"/>
      <c r="N25" s="354" t="s">
        <v>424</v>
      </c>
    </row>
    <row r="26" spans="1:9" ht="12.75" customHeight="1">
      <c r="A26" s="10" t="s">
        <v>38</v>
      </c>
      <c r="B26" s="93">
        <f>Eelarvearuanne!H39</f>
        <v>-142544.41</v>
      </c>
      <c r="C26" s="93">
        <f>Eelarvearuanne!D39</f>
        <v>-281149</v>
      </c>
      <c r="D26" s="352">
        <v>-140000</v>
      </c>
      <c r="E26" s="352">
        <v>-80000</v>
      </c>
      <c r="F26" s="352">
        <v>-80000</v>
      </c>
      <c r="G26" s="353">
        <v>-80000</v>
      </c>
      <c r="H26" s="473"/>
      <c r="I26" s="419" t="s">
        <v>417</v>
      </c>
    </row>
    <row r="27" spans="1:11" ht="12.75" customHeight="1">
      <c r="A27" s="14" t="s">
        <v>39</v>
      </c>
      <c r="B27" s="93">
        <f>Eelarvearuanne!H40+Eelarvearuanne!H42</f>
        <v>0</v>
      </c>
      <c r="C27" s="93">
        <f>Eelarvearuanne!D40+Eelarvearuanne!D42</f>
        <v>0</v>
      </c>
      <c r="D27" s="352"/>
      <c r="E27" s="352"/>
      <c r="F27" s="352"/>
      <c r="G27" s="353"/>
      <c r="H27" s="473"/>
      <c r="I27" s="419"/>
      <c r="J27" s="367"/>
      <c r="K27" s="312"/>
    </row>
    <row r="28" spans="1:9" ht="12.75" customHeight="1">
      <c r="A28" s="14" t="s">
        <v>40</v>
      </c>
      <c r="B28" s="93">
        <f>Eelarvearuanne!H41+Eelarvearuanne!H43</f>
        <v>0</v>
      </c>
      <c r="C28" s="93">
        <f>Eelarvearuanne!D41+Eelarvearuanne!D43</f>
        <v>-125000</v>
      </c>
      <c r="D28" s="352"/>
      <c r="E28" s="352"/>
      <c r="F28" s="352"/>
      <c r="G28" s="353"/>
      <c r="H28" s="473"/>
      <c r="I28" s="367"/>
    </row>
    <row r="29" spans="1:8" ht="12.75" customHeight="1">
      <c r="A29" s="13" t="s">
        <v>41</v>
      </c>
      <c r="B29" s="94">
        <f>Eelarvearuanne!H44</f>
        <v>0</v>
      </c>
      <c r="C29" s="94">
        <f>Eelarvearuanne!D44</f>
        <v>0</v>
      </c>
      <c r="D29" s="352"/>
      <c r="E29" s="352">
        <v>30000</v>
      </c>
      <c r="F29" s="352">
        <v>30000</v>
      </c>
      <c r="G29" s="353"/>
      <c r="H29" s="473"/>
    </row>
    <row r="30" spans="1:9" ht="12.75" customHeight="1">
      <c r="A30" s="14" t="s">
        <v>42</v>
      </c>
      <c r="B30" s="93">
        <f>Eelarvearuanne!H45</f>
        <v>-60000</v>
      </c>
      <c r="C30" s="93">
        <f>Eelarvearuanne!D45</f>
        <v>0</v>
      </c>
      <c r="D30" s="368"/>
      <c r="E30" s="352"/>
      <c r="F30" s="352"/>
      <c r="G30" s="353"/>
      <c r="H30" s="473"/>
      <c r="I30" s="349" t="s">
        <v>332</v>
      </c>
    </row>
    <row r="31" spans="1:9" ht="12.75" customHeight="1">
      <c r="A31" s="65" t="s">
        <v>178</v>
      </c>
      <c r="B31" s="95">
        <f>Eelarvearuanne!H46</f>
        <v>184.47</v>
      </c>
      <c r="C31" s="95">
        <f>Eelarvearuanne!D46</f>
        <v>0</v>
      </c>
      <c r="D31" s="352"/>
      <c r="E31" s="352"/>
      <c r="F31" s="352"/>
      <c r="G31" s="353"/>
      <c r="H31" s="473"/>
      <c r="I31" s="384" t="s">
        <v>421</v>
      </c>
    </row>
    <row r="32" spans="1:8" ht="12.75">
      <c r="A32" s="65" t="s">
        <v>179</v>
      </c>
      <c r="B32" s="93">
        <f>Eelarvearuanne!H47</f>
        <v>-78763.27</v>
      </c>
      <c r="C32" s="93">
        <f>Eelarvearuanne!D47</f>
        <v>-97965</v>
      </c>
      <c r="D32" s="352">
        <v>-91440</v>
      </c>
      <c r="E32" s="352">
        <v>-83779</v>
      </c>
      <c r="F32" s="352">
        <v>-61785</v>
      </c>
      <c r="G32" s="353">
        <v>-47236</v>
      </c>
      <c r="H32" s="473"/>
    </row>
    <row r="33" spans="1:9" ht="12.75">
      <c r="A33" s="15" t="s">
        <v>3</v>
      </c>
      <c r="B33" s="45">
        <f aca="true" t="shared" si="8" ref="B33:G33">B20+B21</f>
        <v>408834.29000000085</v>
      </c>
      <c r="C33" s="25">
        <f t="shared" si="8"/>
        <v>-1140427</v>
      </c>
      <c r="D33" s="25">
        <f>D20+D21</f>
        <v>-631722</v>
      </c>
      <c r="E33" s="25">
        <f t="shared" si="8"/>
        <v>677546.2699999996</v>
      </c>
      <c r="F33" s="25">
        <f t="shared" si="8"/>
        <v>821316.2844999991</v>
      </c>
      <c r="G33" s="26">
        <f t="shared" si="8"/>
        <v>884102.3761629984</v>
      </c>
      <c r="H33" s="483"/>
      <c r="I33" s="369"/>
    </row>
    <row r="34" spans="1:8" ht="12.75">
      <c r="A34" s="15" t="s">
        <v>4</v>
      </c>
      <c r="B34" s="45">
        <f aca="true" t="shared" si="9" ref="B34:G34">B35+B36</f>
        <v>-682141.81</v>
      </c>
      <c r="C34" s="25">
        <f t="shared" si="9"/>
        <v>761919</v>
      </c>
      <c r="D34" s="25">
        <f t="shared" si="9"/>
        <v>632355</v>
      </c>
      <c r="E34" s="25">
        <f t="shared" si="9"/>
        <v>-678115</v>
      </c>
      <c r="F34" s="25">
        <f t="shared" si="9"/>
        <v>-820731</v>
      </c>
      <c r="G34" s="26">
        <f t="shared" si="9"/>
        <v>-884034</v>
      </c>
      <c r="H34" s="483"/>
    </row>
    <row r="35" spans="1:12" ht="12.75">
      <c r="A35" s="370" t="s">
        <v>463</v>
      </c>
      <c r="B35" s="93">
        <f>Eelarvearuanne!H50</f>
        <v>28388</v>
      </c>
      <c r="C35" s="93">
        <f>Eelarvearuanne!D50</f>
        <v>1478683</v>
      </c>
      <c r="D35" s="352">
        <v>1525000</v>
      </c>
      <c r="E35" s="352">
        <v>317000</v>
      </c>
      <c r="F35" s="352">
        <v>115000</v>
      </c>
      <c r="G35" s="353">
        <v>87000</v>
      </c>
      <c r="H35" s="473"/>
      <c r="I35" s="389" t="s">
        <v>419</v>
      </c>
      <c r="J35" s="389"/>
      <c r="K35" s="389"/>
      <c r="L35" s="312"/>
    </row>
    <row r="36" spans="1:10" ht="12.75">
      <c r="A36" s="370" t="s">
        <v>464</v>
      </c>
      <c r="B36" s="93">
        <f>Eelarvearuanne!H51</f>
        <v>-710529.81</v>
      </c>
      <c r="C36" s="93">
        <f>Eelarvearuanne!D51</f>
        <v>-716764</v>
      </c>
      <c r="D36" s="352">
        <v>-892645</v>
      </c>
      <c r="E36" s="352">
        <v>-995115</v>
      </c>
      <c r="F36" s="352">
        <v>-935731</v>
      </c>
      <c r="G36" s="353">
        <v>-971034</v>
      </c>
      <c r="H36" s="473"/>
      <c r="I36" s="354"/>
      <c r="J36" s="312"/>
    </row>
    <row r="37" spans="1:9" ht="25.5">
      <c r="A37" s="16" t="s">
        <v>46</v>
      </c>
      <c r="B37" s="93">
        <f>Eelarvearuanne!H52</f>
        <v>-276928</v>
      </c>
      <c r="C37" s="165">
        <f>Eelarvearuanne!D52</f>
        <v>-378508</v>
      </c>
      <c r="D37" s="395">
        <f>D33+D34+D38</f>
        <v>633</v>
      </c>
      <c r="E37" s="393">
        <f>E33+E34+E38</f>
        <v>-568.730000000447</v>
      </c>
      <c r="F37" s="394">
        <f>F33+F34+F38</f>
        <v>585.2844999991357</v>
      </c>
      <c r="G37" s="403">
        <f>G33+G34+G38</f>
        <v>68.37616299837828</v>
      </c>
      <c r="H37" s="484"/>
      <c r="I37" s="369" t="s">
        <v>401</v>
      </c>
    </row>
    <row r="38" spans="1:9" ht="25.5">
      <c r="A38" s="16" t="s">
        <v>465</v>
      </c>
      <c r="B38" s="93">
        <f>Eelarvearuanne!H53</f>
        <v>-3620.48</v>
      </c>
      <c r="C38" s="93">
        <f>Eelarvearuanne!D53</f>
        <v>0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485"/>
      <c r="I38" s="471" t="s">
        <v>476</v>
      </c>
    </row>
    <row r="39" spans="1:10" ht="12.75">
      <c r="A39" s="469" t="s">
        <v>462</v>
      </c>
      <c r="B39" s="93"/>
      <c r="C39" s="93"/>
      <c r="D39" s="463"/>
      <c r="E39" s="463"/>
      <c r="F39" s="463"/>
      <c r="G39" s="464"/>
      <c r="H39" s="475"/>
      <c r="I39"/>
      <c r="J39"/>
    </row>
    <row r="40" spans="1:14" ht="12.75">
      <c r="A40" s="470" t="s">
        <v>466</v>
      </c>
      <c r="B40" s="467"/>
      <c r="C40" s="468"/>
      <c r="D40" s="352"/>
      <c r="E40" s="352"/>
      <c r="F40" s="352"/>
      <c r="G40" s="353"/>
      <c r="H40" s="473"/>
      <c r="I40" s="465" t="s">
        <v>461</v>
      </c>
      <c r="J40" s="465"/>
      <c r="K40" s="466"/>
      <c r="L40" s="466"/>
      <c r="M40" s="466"/>
      <c r="N40" s="466"/>
    </row>
    <row r="41" spans="1:9" ht="13.5" customHeight="1">
      <c r="A41" s="164" t="s">
        <v>7</v>
      </c>
      <c r="B41" s="142">
        <f>Eelarvearuanne!H158</f>
        <v>378508.4</v>
      </c>
      <c r="C41" s="371">
        <f>B41+C37</f>
        <v>0.40000000002328306</v>
      </c>
      <c r="D41" s="372">
        <f>C41+D37</f>
        <v>633.4000000000233</v>
      </c>
      <c r="E41" s="392">
        <f>D41+E37</f>
        <v>64.66999999957625</v>
      </c>
      <c r="F41" s="373">
        <f>E41+F37</f>
        <v>649.954499998712</v>
      </c>
      <c r="G41" s="374">
        <f>F41+G37</f>
        <v>718.3306629970903</v>
      </c>
      <c r="H41" s="486"/>
      <c r="I41" s="369" t="s">
        <v>413</v>
      </c>
    </row>
    <row r="42" spans="1:11" ht="12.75">
      <c r="A42" s="16" t="s">
        <v>468</v>
      </c>
      <c r="B42" s="396">
        <f>Eelarvearuanne!H156</f>
        <v>5565397</v>
      </c>
      <c r="C42" s="366">
        <f>B42+C34+C43-B43</f>
        <v>6327316</v>
      </c>
      <c r="D42" s="366">
        <f>C42+D34+D43-C43</f>
        <v>6959671</v>
      </c>
      <c r="E42" s="366">
        <f>D42+E34+E43-D43</f>
        <v>6281556</v>
      </c>
      <c r="F42" s="366">
        <f>E42+F34+F43-E43</f>
        <v>5460825</v>
      </c>
      <c r="G42" s="397">
        <f>F42+G34+G43-F43</f>
        <v>4576791</v>
      </c>
      <c r="H42" s="474"/>
      <c r="I42" s="389"/>
      <c r="J42" s="312"/>
      <c r="K42" s="312"/>
    </row>
    <row r="43" spans="1:9" s="312" customFormat="1" ht="34.5" customHeight="1">
      <c r="A43" s="375" t="s">
        <v>458</v>
      </c>
      <c r="B43" s="279"/>
      <c r="C43" s="279"/>
      <c r="D43" s="359"/>
      <c r="E43" s="359"/>
      <c r="F43" s="359"/>
      <c r="G43" s="360"/>
      <c r="H43" s="474"/>
      <c r="I43"/>
    </row>
    <row r="44" spans="1:15" ht="22.5">
      <c r="A44" s="375" t="s">
        <v>467</v>
      </c>
      <c r="B44" s="376">
        <f>Eelarvearuanne!H157</f>
        <v>0</v>
      </c>
      <c r="C44" s="376">
        <f>Eelarvearuanne!D157</f>
        <v>0</v>
      </c>
      <c r="D44" s="356"/>
      <c r="E44" s="356"/>
      <c r="F44" s="356"/>
      <c r="G44" s="377"/>
      <c r="H44" s="474"/>
      <c r="I44" s="354"/>
      <c r="J44" s="312"/>
      <c r="K44" s="312"/>
      <c r="L44" s="312"/>
      <c r="M44" s="312"/>
      <c r="N44" s="312"/>
      <c r="O44" s="312"/>
    </row>
    <row r="45" spans="1:9" ht="12.75">
      <c r="A45" s="19" t="s">
        <v>309</v>
      </c>
      <c r="B45" s="41">
        <f aca="true" t="shared" si="10" ref="B45:G45">IF(B42-B41&lt;0,0,B42-B41)</f>
        <v>5186888.6</v>
      </c>
      <c r="C45" s="41">
        <f>IF(C42-C41&lt;0,0,C42-C41)</f>
        <v>6327315.6</v>
      </c>
      <c r="D45" s="41">
        <f t="shared" si="10"/>
        <v>6959037.6</v>
      </c>
      <c r="E45" s="41">
        <f t="shared" si="10"/>
        <v>6281491.33</v>
      </c>
      <c r="F45" s="41">
        <f t="shared" si="10"/>
        <v>5460175.045500001</v>
      </c>
      <c r="G45" s="33">
        <f t="shared" si="10"/>
        <v>4576072.669337003</v>
      </c>
      <c r="H45" s="481"/>
      <c r="I45" s="369"/>
    </row>
    <row r="46" spans="1:8" ht="12.75">
      <c r="A46" s="19" t="s">
        <v>310</v>
      </c>
      <c r="B46" s="166">
        <f aca="true" t="shared" si="11" ref="B46:G46">B45/B2</f>
        <v>0.44745940464822975</v>
      </c>
      <c r="C46" s="167">
        <f>C45/C2</f>
        <v>0.5288465334990475</v>
      </c>
      <c r="D46" s="167">
        <f t="shared" si="11"/>
        <v>0.5807776569975234</v>
      </c>
      <c r="E46" s="167">
        <f t="shared" si="11"/>
        <v>0.5133277297464494</v>
      </c>
      <c r="F46" s="167">
        <f t="shared" si="11"/>
        <v>0.4365634860491656</v>
      </c>
      <c r="G46" s="168">
        <f t="shared" si="11"/>
        <v>0.355458127397479</v>
      </c>
      <c r="H46" s="487"/>
    </row>
    <row r="47" spans="1:10" ht="12.75">
      <c r="A47" s="19" t="s">
        <v>311</v>
      </c>
      <c r="B47" s="41">
        <f aca="true" t="shared" si="12" ref="B47:G47">IF((B20+B18)*6&gt;B2,B2+B44,IF((B20+B18)*6&lt;0.6*B2,0.6*B2+B44,(B20+B18)*6+B44))</f>
        <v>6955118.448</v>
      </c>
      <c r="C47" s="41">
        <f>IF((C20+C18)*10&gt;C2,C2+C44,IF((C20+C18)*10&lt;0.8*C2,0.8*C2+C44,(C20+C18)*10+C44))</f>
        <v>10833810</v>
      </c>
      <c r="D47" s="41">
        <f>IF((D20+D18)*10&gt;D2,D2+D44,IF((D20+D18)*10&lt;0.8*D2,0.8*D2+D44,(D20+D18)*10+D44))</f>
        <v>10218900</v>
      </c>
      <c r="E47" s="41">
        <f t="shared" si="12"/>
        <v>7342083</v>
      </c>
      <c r="F47" s="41">
        <f t="shared" si="12"/>
        <v>7504303.8</v>
      </c>
      <c r="G47" s="33">
        <f t="shared" si="12"/>
        <v>7724239.199999999</v>
      </c>
      <c r="H47" s="481"/>
      <c r="I47" s="459" t="s">
        <v>477</v>
      </c>
      <c r="J47" s="457"/>
    </row>
    <row r="48" spans="1:17" ht="13.5" customHeight="1">
      <c r="A48" s="19" t="s">
        <v>440</v>
      </c>
      <c r="B48" s="167">
        <f aca="true" t="shared" si="13" ref="B48:G48">B47/B2</f>
        <v>0.6</v>
      </c>
      <c r="C48" s="167">
        <f t="shared" si="13"/>
        <v>0.9055060985242014</v>
      </c>
      <c r="D48" s="167">
        <f t="shared" si="13"/>
        <v>0.8528347079331763</v>
      </c>
      <c r="E48" s="167">
        <f t="shared" si="13"/>
        <v>0.6</v>
      </c>
      <c r="F48" s="167">
        <f t="shared" si="13"/>
        <v>0.6</v>
      </c>
      <c r="G48" s="168">
        <f t="shared" si="13"/>
        <v>0.6</v>
      </c>
      <c r="H48" s="487"/>
      <c r="I48" s="338"/>
      <c r="J48" s="338"/>
      <c r="K48" s="338"/>
      <c r="L48" s="389"/>
      <c r="M48" s="389"/>
      <c r="N48" s="389"/>
      <c r="O48" s="389"/>
      <c r="P48" s="389"/>
      <c r="Q48" s="389"/>
    </row>
    <row r="49" spans="1:11" ht="12.75">
      <c r="A49" s="19" t="s">
        <v>52</v>
      </c>
      <c r="B49" s="27">
        <f aca="true" t="shared" si="14" ref="B49:G49">B47-B45</f>
        <v>1768229.8480000002</v>
      </c>
      <c r="C49" s="27">
        <f t="shared" si="14"/>
        <v>4506494.4</v>
      </c>
      <c r="D49" s="27">
        <f t="shared" si="14"/>
        <v>3259862.4000000004</v>
      </c>
      <c r="E49" s="27">
        <f t="shared" si="14"/>
        <v>1060591.67</v>
      </c>
      <c r="F49" s="27">
        <f t="shared" si="14"/>
        <v>2044128.7544999989</v>
      </c>
      <c r="G49" s="33">
        <f t="shared" si="14"/>
        <v>3148166.5306629967</v>
      </c>
      <c r="H49" s="481"/>
      <c r="I49" s="389"/>
      <c r="J49" s="389"/>
      <c r="K49" s="389"/>
    </row>
    <row r="50" spans="1:8" ht="12.75">
      <c r="A50" s="20"/>
      <c r="B50" s="24"/>
      <c r="C50" s="378"/>
      <c r="D50" s="378"/>
      <c r="E50" s="378"/>
      <c r="F50" s="378"/>
      <c r="G50" s="379"/>
      <c r="H50" s="476"/>
    </row>
    <row r="51" spans="1:10" s="369" customFormat="1" ht="13.5" thickBot="1">
      <c r="A51" s="161" t="s">
        <v>8</v>
      </c>
      <c r="B51" s="162">
        <f aca="true" t="shared" si="15" ref="B51:G51">B33+B34-B37+B38</f>
        <v>7.962626114021987E-10</v>
      </c>
      <c r="C51" s="162">
        <f>C33+C34-C37+C38</f>
        <v>0</v>
      </c>
      <c r="D51" s="162">
        <f>D33+D34-D37+D38</f>
        <v>0</v>
      </c>
      <c r="E51" s="162">
        <f t="shared" si="15"/>
        <v>0</v>
      </c>
      <c r="F51" s="162">
        <f t="shared" si="15"/>
        <v>0</v>
      </c>
      <c r="G51" s="163">
        <f t="shared" si="15"/>
        <v>0</v>
      </c>
      <c r="H51" s="488"/>
      <c r="I51" s="389" t="s">
        <v>303</v>
      </c>
      <c r="J51" s="380"/>
    </row>
    <row r="52" spans="1:9" s="454" customFormat="1" ht="11.25">
      <c r="A52" s="452" t="s">
        <v>469</v>
      </c>
      <c r="B52" s="453" t="str">
        <f aca="true" t="shared" si="16" ref="B52:G52">IF((-B24-B26-B28-B30)&lt;B35,"FALSE","OK")</f>
        <v>OK</v>
      </c>
      <c r="C52" s="453" t="str">
        <f t="shared" si="16"/>
        <v>OK</v>
      </c>
      <c r="D52" s="453" t="str">
        <f>IF((-D24-D26-D28-D30)&lt;D35,"FALSE","OK")</f>
        <v>OK</v>
      </c>
      <c r="E52" s="453" t="str">
        <f t="shared" si="16"/>
        <v>OK</v>
      </c>
      <c r="F52" s="453" t="str">
        <f t="shared" si="16"/>
        <v>OK</v>
      </c>
      <c r="G52" s="453" t="str">
        <f t="shared" si="16"/>
        <v>OK</v>
      </c>
      <c r="H52" s="453"/>
      <c r="I52" s="429" t="s">
        <v>441</v>
      </c>
    </row>
    <row r="53" spans="1:8" ht="12.75">
      <c r="A53" s="70" t="s">
        <v>199</v>
      </c>
      <c r="B53" s="169" t="s">
        <v>202</v>
      </c>
      <c r="C53" s="170">
        <f>C2/B2-1</f>
        <v>0.032135117995620854</v>
      </c>
      <c r="D53" s="170">
        <f>D2/C2-1</f>
        <v>0.0014965267707367502</v>
      </c>
      <c r="E53" s="170">
        <f>E2/D2-1</f>
        <v>0.02124220984746228</v>
      </c>
      <c r="F53" s="170">
        <f>F2/E2-1</f>
        <v>0.022094656244011412</v>
      </c>
      <c r="G53" s="170">
        <f>G2/F2-1</f>
        <v>0.029307901953542936</v>
      </c>
      <c r="H53" s="477"/>
    </row>
    <row r="54" spans="1:8" ht="12.75">
      <c r="A54" s="70" t="s">
        <v>200</v>
      </c>
      <c r="B54" s="169" t="s">
        <v>202</v>
      </c>
      <c r="C54" s="170">
        <f>C13/B13-1</f>
        <v>0.035922410519264814</v>
      </c>
      <c r="D54" s="170">
        <f>D13/C13-1</f>
        <v>0.00729676318944894</v>
      </c>
      <c r="E54" s="170">
        <f>E13/D13-1</f>
        <v>0.020695051314347124</v>
      </c>
      <c r="F54" s="170">
        <f>F13/E13-1</f>
        <v>0.022066356972968215</v>
      </c>
      <c r="G54" s="170">
        <f>G13/F13-1</f>
        <v>0.025216031131425565</v>
      </c>
      <c r="H54" s="477"/>
    </row>
    <row r="55" spans="1:8" ht="12.75">
      <c r="A55" s="70" t="s">
        <v>201</v>
      </c>
      <c r="B55" s="171">
        <f aca="true" t="shared" si="17" ref="B55:G55">B2/B13</f>
        <v>1.1036011322284471</v>
      </c>
      <c r="C55" s="171">
        <f t="shared" si="17"/>
        <v>1.099566408899044</v>
      </c>
      <c r="D55" s="171">
        <f t="shared" si="17"/>
        <v>1.093234863556344</v>
      </c>
      <c r="E55" s="171">
        <f t="shared" si="17"/>
        <v>1.0938209081183545</v>
      </c>
      <c r="F55" s="171">
        <f t="shared" si="17"/>
        <v>1.0938511941503135</v>
      </c>
      <c r="G55" s="171">
        <f t="shared" si="17"/>
        <v>1.0982170035496674</v>
      </c>
      <c r="H55" s="478"/>
    </row>
    <row r="56" ht="25.5" customHeight="1" thickBot="1">
      <c r="H56" s="5"/>
    </row>
    <row r="57" spans="1:14" ht="42.75" customHeight="1" thickBot="1">
      <c r="A57" s="71" t="s">
        <v>422</v>
      </c>
      <c r="B57" s="336"/>
      <c r="C57" s="336" t="s">
        <v>474</v>
      </c>
      <c r="D57" s="336" t="s">
        <v>429</v>
      </c>
      <c r="E57" s="336" t="s">
        <v>443</v>
      </c>
      <c r="F57" s="336" t="s">
        <v>456</v>
      </c>
      <c r="G57" s="444" t="s">
        <v>475</v>
      </c>
      <c r="H57" s="479"/>
      <c r="I57" s="537" t="s">
        <v>361</v>
      </c>
      <c r="J57" s="538"/>
      <c r="K57" s="538"/>
      <c r="L57" s="538"/>
      <c r="M57" s="538"/>
      <c r="N57" s="538"/>
    </row>
    <row r="58" spans="1:14" ht="12.75">
      <c r="A58" s="63" t="s">
        <v>189</v>
      </c>
      <c r="B58" s="381"/>
      <c r="C58" s="381">
        <f>SUM(C59:C60)</f>
        <v>138099</v>
      </c>
      <c r="D58" s="381">
        <f>SUM(D59:D60)</f>
        <v>95333</v>
      </c>
      <c r="E58" s="381">
        <f>SUM(E59:E60)</f>
        <v>0</v>
      </c>
      <c r="F58" s="381">
        <f>SUM(F59:F60)</f>
        <v>0</v>
      </c>
      <c r="G58" s="382">
        <f>SUM(G59:G60)</f>
        <v>0</v>
      </c>
      <c r="H58" s="486"/>
      <c r="I58" s="455" t="s">
        <v>438</v>
      </c>
      <c r="J58" s="456"/>
      <c r="K58" s="457"/>
      <c r="L58" s="457"/>
      <c r="M58" s="312"/>
      <c r="N58" s="312"/>
    </row>
    <row r="59" spans="1:14" ht="12.75">
      <c r="A59" s="72" t="s">
        <v>207</v>
      </c>
      <c r="B59" s="366"/>
      <c r="C59" s="383"/>
      <c r="D59" s="383">
        <f>D140+D101</f>
        <v>0</v>
      </c>
      <c r="E59" s="383">
        <f aca="true" t="shared" si="18" ref="E59:G60">E140</f>
        <v>0</v>
      </c>
      <c r="F59" s="383">
        <f t="shared" si="18"/>
        <v>0</v>
      </c>
      <c r="G59" s="383">
        <f t="shared" si="18"/>
        <v>0</v>
      </c>
      <c r="H59" s="474"/>
      <c r="I59" s="389"/>
      <c r="J59" s="312"/>
      <c r="K59" s="312"/>
      <c r="L59" s="312"/>
      <c r="M59" s="312"/>
      <c r="N59" s="312"/>
    </row>
    <row r="60" spans="1:9" ht="12.75">
      <c r="A60" s="72" t="s">
        <v>313</v>
      </c>
      <c r="B60" s="366"/>
      <c r="C60" s="383">
        <f>C141+C102</f>
        <v>138099</v>
      </c>
      <c r="D60" s="383">
        <f>D141+D117+D102</f>
        <v>95333</v>
      </c>
      <c r="E60" s="383">
        <f t="shared" si="18"/>
        <v>0</v>
      </c>
      <c r="F60" s="383">
        <f t="shared" si="18"/>
        <v>0</v>
      </c>
      <c r="G60" s="383">
        <f t="shared" si="18"/>
        <v>0</v>
      </c>
      <c r="H60" s="474"/>
      <c r="I60" s="384" t="s">
        <v>312</v>
      </c>
    </row>
    <row r="61" spans="1:8" ht="13.5" customHeight="1">
      <c r="A61" s="63" t="s">
        <v>190</v>
      </c>
      <c r="B61" s="381"/>
      <c r="C61" s="381">
        <f>SUM(C62:C63)</f>
        <v>0</v>
      </c>
      <c r="D61" s="381">
        <f>SUM(D62:D63)</f>
        <v>0</v>
      </c>
      <c r="E61" s="381">
        <f>SUM(E62:E63)</f>
        <v>0</v>
      </c>
      <c r="F61" s="381">
        <f>SUM(F62:F63)</f>
        <v>0</v>
      </c>
      <c r="G61" s="382">
        <f>SUM(G62:G63)</f>
        <v>0</v>
      </c>
      <c r="H61" s="486"/>
    </row>
    <row r="62" spans="1:8" ht="13.5" customHeight="1">
      <c r="A62" s="72" t="s">
        <v>207</v>
      </c>
      <c r="B62" s="366"/>
      <c r="C62" s="383"/>
      <c r="D62" s="383"/>
      <c r="E62" s="356"/>
      <c r="F62" s="356"/>
      <c r="G62" s="357"/>
      <c r="H62" s="474"/>
    </row>
    <row r="63" spans="1:8" ht="13.5" customHeight="1">
      <c r="A63" s="72" t="s">
        <v>313</v>
      </c>
      <c r="B63" s="366"/>
      <c r="C63" s="383"/>
      <c r="D63" s="383"/>
      <c r="E63" s="356"/>
      <c r="F63" s="356"/>
      <c r="G63" s="357"/>
      <c r="H63" s="474"/>
    </row>
    <row r="64" spans="1:8" ht="13.5" customHeight="1">
      <c r="A64" s="63" t="s">
        <v>191</v>
      </c>
      <c r="B64" s="381"/>
      <c r="C64" s="381">
        <f>SUM(C65:C66)</f>
        <v>0</v>
      </c>
      <c r="D64" s="381">
        <f>SUM(D65:D66)</f>
        <v>0</v>
      </c>
      <c r="E64" s="381">
        <f>SUM(E65:E66)</f>
        <v>0</v>
      </c>
      <c r="F64" s="381">
        <f>SUM(F65:F66)</f>
        <v>0</v>
      </c>
      <c r="G64" s="382">
        <f>SUM(G65:G66)</f>
        <v>0</v>
      </c>
      <c r="H64" s="486"/>
    </row>
    <row r="65" spans="1:8" ht="13.5" customHeight="1">
      <c r="A65" s="72" t="s">
        <v>207</v>
      </c>
      <c r="B65" s="366"/>
      <c r="C65" s="383"/>
      <c r="D65" s="383"/>
      <c r="E65" s="356"/>
      <c r="F65" s="356"/>
      <c r="G65" s="357"/>
      <c r="H65" s="474"/>
    </row>
    <row r="66" spans="1:8" ht="13.5" customHeight="1">
      <c r="A66" s="72" t="s">
        <v>313</v>
      </c>
      <c r="B66" s="366"/>
      <c r="C66" s="383"/>
      <c r="D66" s="383"/>
      <c r="E66" s="356"/>
      <c r="F66" s="356"/>
      <c r="G66" s="357"/>
      <c r="H66" s="474"/>
    </row>
    <row r="67" spans="1:9" ht="13.5" customHeight="1">
      <c r="A67" s="63" t="s">
        <v>192</v>
      </c>
      <c r="B67" s="381"/>
      <c r="C67" s="381">
        <f>SUM(C68:C69)</f>
        <v>786925</v>
      </c>
      <c r="D67" s="381">
        <f>SUM(D68:D69)</f>
        <v>322200</v>
      </c>
      <c r="E67" s="381">
        <f>SUM(E68:E69)</f>
        <v>200000</v>
      </c>
      <c r="F67" s="381">
        <f>SUM(F68:F69)</f>
        <v>200000</v>
      </c>
      <c r="G67" s="382">
        <f>SUM(G68:G69)</f>
        <v>200000</v>
      </c>
      <c r="H67" s="486"/>
      <c r="I67" s="389"/>
    </row>
    <row r="68" spans="1:9" ht="13.5" customHeight="1">
      <c r="A68" s="72" t="s">
        <v>207</v>
      </c>
      <c r="B68" s="366"/>
      <c r="C68" s="383">
        <f>C104+C110+C125+C128+C137</f>
        <v>29801</v>
      </c>
      <c r="D68" s="383">
        <f>D104+D110+D125+D128+D137</f>
        <v>0</v>
      </c>
      <c r="E68" s="383">
        <f>E104+E110+E125+E128+E137</f>
        <v>0</v>
      </c>
      <c r="F68" s="383">
        <f>F104+F110+F125+F128+F137</f>
        <v>0</v>
      </c>
      <c r="G68" s="383">
        <f>G104+G110+G125+G128+G137</f>
        <v>0</v>
      </c>
      <c r="H68" s="474"/>
      <c r="I68" s="354" t="s">
        <v>437</v>
      </c>
    </row>
    <row r="69" spans="1:22" ht="13.5" customHeight="1">
      <c r="A69" s="72" t="s">
        <v>313</v>
      </c>
      <c r="B69" s="366"/>
      <c r="C69" s="383">
        <f>C105+C111+C126+C129+C138+C144</f>
        <v>757124</v>
      </c>
      <c r="D69" s="383">
        <f>D105+D111+D126+D129+D138+D144</f>
        <v>322200</v>
      </c>
      <c r="E69" s="383">
        <f>E190</f>
        <v>200000</v>
      </c>
      <c r="F69" s="383">
        <f>F190</f>
        <v>200000</v>
      </c>
      <c r="G69" s="383">
        <f>G190</f>
        <v>200000</v>
      </c>
      <c r="H69" s="474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</row>
    <row r="70" spans="1:22" ht="13.5" customHeight="1">
      <c r="A70" s="63" t="s">
        <v>193</v>
      </c>
      <c r="B70" s="366"/>
      <c r="C70" s="381">
        <f>SUM(C71:C72)</f>
        <v>57456</v>
      </c>
      <c r="D70" s="381">
        <f>SUM(D71:D72)</f>
        <v>191744</v>
      </c>
      <c r="E70" s="381">
        <f>SUM(E71:E72)</f>
        <v>0</v>
      </c>
      <c r="F70" s="381">
        <f>SUM(F71:F72)</f>
        <v>0</v>
      </c>
      <c r="G70" s="382">
        <f>SUM(G71:G72)</f>
        <v>0</v>
      </c>
      <c r="H70" s="486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</row>
    <row r="71" spans="1:22" ht="13.5" customHeight="1">
      <c r="A71" s="72" t="s">
        <v>207</v>
      </c>
      <c r="B71" s="366"/>
      <c r="C71" s="356">
        <f>C134+C146</f>
        <v>0</v>
      </c>
      <c r="D71" s="356">
        <f>D134</f>
        <v>180000</v>
      </c>
      <c r="E71" s="356">
        <f aca="true" t="shared" si="19" ref="D71:G72">E134</f>
        <v>0</v>
      </c>
      <c r="F71" s="356">
        <f t="shared" si="19"/>
        <v>0</v>
      </c>
      <c r="G71" s="356">
        <f t="shared" si="19"/>
        <v>0</v>
      </c>
      <c r="H71" s="474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</row>
    <row r="72" spans="1:8" ht="12.75">
      <c r="A72" s="72" t="s">
        <v>313</v>
      </c>
      <c r="B72" s="366"/>
      <c r="C72" s="356">
        <f>C135+C147</f>
        <v>57456</v>
      </c>
      <c r="D72" s="356">
        <f t="shared" si="19"/>
        <v>11744</v>
      </c>
      <c r="E72" s="356">
        <f t="shared" si="19"/>
        <v>0</v>
      </c>
      <c r="F72" s="356">
        <f t="shared" si="19"/>
        <v>0</v>
      </c>
      <c r="G72" s="356">
        <f t="shared" si="19"/>
        <v>0</v>
      </c>
      <c r="H72" s="474"/>
    </row>
    <row r="73" spans="1:8" ht="12.75">
      <c r="A73" s="63" t="s">
        <v>194</v>
      </c>
      <c r="B73" s="366"/>
      <c r="C73" s="381">
        <f>SUM(C74:C75)</f>
        <v>321000</v>
      </c>
      <c r="D73" s="381">
        <f>SUM(D74:D75)</f>
        <v>243365</v>
      </c>
      <c r="E73" s="381">
        <f>SUM(E74:E75)</f>
        <v>140000</v>
      </c>
      <c r="F73" s="381">
        <f>SUM(F74:F75)</f>
        <v>0</v>
      </c>
      <c r="G73" s="382">
        <f>SUM(G74:G75)</f>
        <v>0</v>
      </c>
      <c r="H73" s="486"/>
    </row>
    <row r="74" spans="1:8" ht="12.75">
      <c r="A74" s="72" t="s">
        <v>207</v>
      </c>
      <c r="B74" s="366"/>
      <c r="C74" s="356">
        <f>C119+C152+C155+C158+C161+C164</f>
        <v>293000</v>
      </c>
      <c r="D74" s="356"/>
      <c r="E74" s="356">
        <f>E119</f>
        <v>125000</v>
      </c>
      <c r="F74" s="356"/>
      <c r="G74" s="356"/>
      <c r="H74" s="474"/>
    </row>
    <row r="75" spans="1:8" ht="12.75">
      <c r="A75" s="72" t="s">
        <v>313</v>
      </c>
      <c r="B75" s="366"/>
      <c r="C75" s="356">
        <f>C120+C153+C156+C159+C162+C165</f>
        <v>28000</v>
      </c>
      <c r="D75" s="356">
        <f>D156</f>
        <v>243365</v>
      </c>
      <c r="E75" s="356">
        <f>E120</f>
        <v>15000</v>
      </c>
      <c r="F75" s="356"/>
      <c r="G75" s="356">
        <f>G156</f>
        <v>0</v>
      </c>
      <c r="H75" s="474"/>
    </row>
    <row r="76" spans="1:8" ht="12.75">
      <c r="A76" s="63" t="s">
        <v>195</v>
      </c>
      <c r="B76" s="366"/>
      <c r="C76" s="381">
        <f>SUM(C77:C78)</f>
        <v>125085</v>
      </c>
      <c r="D76" s="381">
        <f>SUM(D77:D78)</f>
        <v>0</v>
      </c>
      <c r="E76" s="381">
        <f>SUM(E77:E78)</f>
        <v>0</v>
      </c>
      <c r="F76" s="381">
        <f>SUM(F77:F78)</f>
        <v>0</v>
      </c>
      <c r="G76" s="382">
        <f>SUM(G77:G78)</f>
        <v>0</v>
      </c>
      <c r="H76" s="486"/>
    </row>
    <row r="77" spans="1:8" ht="12.75">
      <c r="A77" s="72" t="s">
        <v>207</v>
      </c>
      <c r="B77" s="366"/>
      <c r="C77" s="356">
        <f>C167</f>
        <v>109860</v>
      </c>
      <c r="D77" s="356"/>
      <c r="E77" s="356"/>
      <c r="F77" s="356"/>
      <c r="G77" s="357"/>
      <c r="H77" s="474"/>
    </row>
    <row r="78" spans="1:8" ht="12.75">
      <c r="A78" s="72" t="s">
        <v>313</v>
      </c>
      <c r="B78" s="366"/>
      <c r="C78" s="356">
        <f>C168</f>
        <v>15225</v>
      </c>
      <c r="D78" s="356"/>
      <c r="E78" s="356"/>
      <c r="F78" s="356"/>
      <c r="G78" s="357"/>
      <c r="H78" s="474"/>
    </row>
    <row r="79" spans="1:8" ht="12.75">
      <c r="A79" s="63" t="s">
        <v>196</v>
      </c>
      <c r="B79" s="366"/>
      <c r="C79" s="381">
        <f>SUM(C80:C81)</f>
        <v>94580</v>
      </c>
      <c r="D79" s="381">
        <f>SUM(D80:D81)</f>
        <v>186370</v>
      </c>
      <c r="E79" s="381">
        <f>SUM(E80:E81)</f>
        <v>0</v>
      </c>
      <c r="F79" s="381">
        <f>SUM(F80:F81)</f>
        <v>0</v>
      </c>
      <c r="G79" s="382">
        <f>SUM(G80:G81)</f>
        <v>0</v>
      </c>
      <c r="H79" s="486"/>
    </row>
    <row r="80" spans="1:8" ht="12.75">
      <c r="A80" s="72" t="s">
        <v>207</v>
      </c>
      <c r="B80" s="366"/>
      <c r="C80" s="356">
        <f>C113+C170+C173+C182</f>
        <v>75000</v>
      </c>
      <c r="D80" s="356">
        <f>D113+D185</f>
        <v>164040</v>
      </c>
      <c r="E80" s="356"/>
      <c r="F80" s="356"/>
      <c r="G80" s="357"/>
      <c r="H80" s="474"/>
    </row>
    <row r="81" spans="1:8" ht="12.75">
      <c r="A81" s="72" t="s">
        <v>313</v>
      </c>
      <c r="B81" s="366"/>
      <c r="C81" s="356">
        <f>C114+C171+C174+C183</f>
        <v>19580</v>
      </c>
      <c r="D81" s="356">
        <f>D114+D186</f>
        <v>22330</v>
      </c>
      <c r="E81" s="356"/>
      <c r="F81" s="356"/>
      <c r="G81" s="357"/>
      <c r="H81" s="474"/>
    </row>
    <row r="82" spans="1:8" ht="12.75">
      <c r="A82" s="63" t="s">
        <v>197</v>
      </c>
      <c r="B82" s="366"/>
      <c r="C82" s="381">
        <f>SUM(C83:C84)</f>
        <v>1043594</v>
      </c>
      <c r="D82" s="381">
        <f>SUM(D83:D84)</f>
        <v>251711</v>
      </c>
      <c r="E82" s="381">
        <f>SUM(E83:E84)</f>
        <v>83269</v>
      </c>
      <c r="F82" s="381">
        <f>SUM(F83:F84)</f>
        <v>0</v>
      </c>
      <c r="G82" s="382">
        <f>SUM(G83:G84)</f>
        <v>0</v>
      </c>
      <c r="H82" s="486"/>
    </row>
    <row r="83" spans="1:8" ht="12.75">
      <c r="A83" s="72" t="s">
        <v>207</v>
      </c>
      <c r="B83" s="366"/>
      <c r="C83" s="356">
        <f>C131+C176+C188+C95</f>
        <v>201941</v>
      </c>
      <c r="D83" s="356">
        <f>D122+D176+D188+D194</f>
        <v>150031</v>
      </c>
      <c r="E83" s="356"/>
      <c r="F83" s="356"/>
      <c r="G83" s="357"/>
      <c r="H83" s="474"/>
    </row>
    <row r="84" spans="1:8" ht="12.75">
      <c r="A84" s="72" t="s">
        <v>313</v>
      </c>
      <c r="B84" s="366"/>
      <c r="C84" s="356">
        <f>C132+C177+C189+C96+C180</f>
        <v>841653</v>
      </c>
      <c r="D84" s="356">
        <f>D123+D189+D195</f>
        <v>101680</v>
      </c>
      <c r="E84" s="356">
        <f>E177</f>
        <v>83269</v>
      </c>
      <c r="F84" s="356"/>
      <c r="G84" s="357"/>
      <c r="H84" s="474"/>
    </row>
    <row r="85" spans="1:8" ht="12.75">
      <c r="A85" s="63" t="s">
        <v>198</v>
      </c>
      <c r="B85" s="381"/>
      <c r="C85" s="381">
        <f>SUM(C86:C87)</f>
        <v>79440</v>
      </c>
      <c r="D85" s="381">
        <f>SUM(D86:D87)</f>
        <v>1266320</v>
      </c>
      <c r="E85" s="381">
        <f>SUM(E86:E87)</f>
        <v>0</v>
      </c>
      <c r="F85" s="381">
        <f>SUM(F86:F87)</f>
        <v>0</v>
      </c>
      <c r="G85" s="382">
        <f>SUM(G86:G87)</f>
        <v>0</v>
      </c>
      <c r="H85" s="486"/>
    </row>
    <row r="86" spans="1:8" ht="12.75">
      <c r="A86" s="72" t="s">
        <v>207</v>
      </c>
      <c r="B86" s="366"/>
      <c r="C86" s="383"/>
      <c r="D86" s="383">
        <f>D98</f>
        <v>580800</v>
      </c>
      <c r="E86" s="356"/>
      <c r="F86" s="356"/>
      <c r="G86" s="357"/>
      <c r="H86" s="474"/>
    </row>
    <row r="87" spans="1:8" s="384" customFormat="1" ht="12.75">
      <c r="A87" s="72" t="s">
        <v>313</v>
      </c>
      <c r="B87" s="366"/>
      <c r="C87" s="383">
        <v>79440</v>
      </c>
      <c r="D87" s="383">
        <f>D99</f>
        <v>685520</v>
      </c>
      <c r="E87" s="356"/>
      <c r="F87" s="356"/>
      <c r="G87" s="357"/>
      <c r="H87" s="474"/>
    </row>
    <row r="88" spans="1:9" s="384" customFormat="1" ht="12.75">
      <c r="A88" s="126" t="s">
        <v>6</v>
      </c>
      <c r="B88" s="385"/>
      <c r="C88" s="385">
        <f>SUM(C89:C90)</f>
        <v>2646179</v>
      </c>
      <c r="D88" s="385">
        <f>SUM(D89:D90)</f>
        <v>2557043</v>
      </c>
      <c r="E88" s="385">
        <f>SUM(E89:E90)</f>
        <v>423269</v>
      </c>
      <c r="F88" s="385">
        <f>SUM(F89:F90)</f>
        <v>200000</v>
      </c>
      <c r="G88" s="386">
        <f>SUM(G89:G90)</f>
        <v>200000</v>
      </c>
      <c r="H88" s="486"/>
      <c r="I88" s="354"/>
    </row>
    <row r="89" spans="1:8" ht="12.75">
      <c r="A89" s="72" t="s">
        <v>207</v>
      </c>
      <c r="B89" s="366"/>
      <c r="C89" s="366">
        <f aca="true" t="shared" si="20" ref="C89:G90">C59+C62+C65+C68+C71+C74+C77+C80+C83+C86</f>
        <v>709602</v>
      </c>
      <c r="D89" s="366">
        <f>D59+D62+D65+D68+D71+D74+D77+D80+D83+D86</f>
        <v>1074871</v>
      </c>
      <c r="E89" s="366">
        <f t="shared" si="20"/>
        <v>125000</v>
      </c>
      <c r="F89" s="366">
        <f t="shared" si="20"/>
        <v>0</v>
      </c>
      <c r="G89" s="397">
        <f t="shared" si="20"/>
        <v>0</v>
      </c>
      <c r="H89" s="474"/>
    </row>
    <row r="90" spans="1:8" ht="13.5" thickBot="1">
      <c r="A90" s="445" t="s">
        <v>313</v>
      </c>
      <c r="B90" s="387"/>
      <c r="C90" s="446">
        <f t="shared" si="20"/>
        <v>1936577</v>
      </c>
      <c r="D90" s="446">
        <f>D60+D63+D66+D69+D72+D75+D78+D81+D84+D87</f>
        <v>1482172</v>
      </c>
      <c r="E90" s="446">
        <f t="shared" si="20"/>
        <v>298269</v>
      </c>
      <c r="F90" s="446">
        <f t="shared" si="20"/>
        <v>200000</v>
      </c>
      <c r="G90" s="447">
        <f t="shared" si="20"/>
        <v>200000</v>
      </c>
      <c r="H90" s="474"/>
    </row>
    <row r="91" spans="1:9" ht="19.5" customHeight="1">
      <c r="A91" s="119" t="s">
        <v>435</v>
      </c>
      <c r="C91" s="422">
        <f>C23+C88</f>
        <v>0</v>
      </c>
      <c r="D91" s="422">
        <f>D23+D88</f>
        <v>0</v>
      </c>
      <c r="E91" s="422">
        <f>E23+E88</f>
        <v>0</v>
      </c>
      <c r="F91" s="422">
        <f>F23+F88</f>
        <v>0</v>
      </c>
      <c r="G91" s="422">
        <f>G23+G88</f>
        <v>0</v>
      </c>
      <c r="H91" s="489"/>
      <c r="I91" s="354" t="s">
        <v>303</v>
      </c>
    </row>
    <row r="92" ht="12.75"/>
    <row r="93" spans="1:10" ht="12.75">
      <c r="A93" s="369" t="s">
        <v>436</v>
      </c>
      <c r="B93" s="459" t="s">
        <v>439</v>
      </c>
      <c r="C93" s="459"/>
      <c r="D93" s="459"/>
      <c r="E93" s="459"/>
      <c r="F93" s="459"/>
      <c r="I93"/>
      <c r="J93"/>
    </row>
    <row r="94" spans="1:8" ht="12.75">
      <c r="A94" s="63" t="s">
        <v>489</v>
      </c>
      <c r="B94" s="443"/>
      <c r="C94" s="381">
        <f>C95+C96</f>
        <v>492907</v>
      </c>
      <c r="D94" s="381">
        <f>D95+D96</f>
        <v>0</v>
      </c>
      <c r="E94" s="381">
        <f>E95+E96</f>
        <v>0</v>
      </c>
      <c r="F94" s="381">
        <f>F95+F96</f>
        <v>0</v>
      </c>
      <c r="G94" s="381">
        <f>G95+G96</f>
        <v>0</v>
      </c>
      <c r="H94" s="486" t="s">
        <v>273</v>
      </c>
    </row>
    <row r="95" spans="1:8" ht="12.75">
      <c r="A95" s="72" t="s">
        <v>207</v>
      </c>
      <c r="B95" s="443"/>
      <c r="C95" s="356">
        <v>148941</v>
      </c>
      <c r="D95" s="460"/>
      <c r="E95" s="460"/>
      <c r="F95" s="460"/>
      <c r="G95" s="472"/>
      <c r="H95" s="490" t="s">
        <v>273</v>
      </c>
    </row>
    <row r="96" spans="1:8" ht="12.75">
      <c r="A96" s="72" t="s">
        <v>313</v>
      </c>
      <c r="B96" s="443"/>
      <c r="C96" s="460">
        <v>343966</v>
      </c>
      <c r="D96" s="460"/>
      <c r="E96" s="460"/>
      <c r="F96" s="460"/>
      <c r="G96" s="472"/>
      <c r="H96" s="490" t="s">
        <v>273</v>
      </c>
    </row>
    <row r="97" spans="1:8" ht="12.75">
      <c r="A97" s="63" t="s">
        <v>478</v>
      </c>
      <c r="B97" s="443"/>
      <c r="C97" s="381">
        <f>C98+C99</f>
        <v>39480</v>
      </c>
      <c r="D97" s="381">
        <f>D98+D99</f>
        <v>1266320</v>
      </c>
      <c r="E97" s="381">
        <f>E98+E99</f>
        <v>0</v>
      </c>
      <c r="F97" s="381">
        <f>F98+F99</f>
        <v>0</v>
      </c>
      <c r="G97" s="381">
        <f>G98+G99</f>
        <v>0</v>
      </c>
      <c r="H97" s="486" t="s">
        <v>280</v>
      </c>
    </row>
    <row r="98" spans="1:8" ht="12.75">
      <c r="A98" s="72" t="s">
        <v>207</v>
      </c>
      <c r="B98" s="443"/>
      <c r="C98" s="460"/>
      <c r="D98" s="460">
        <v>580800</v>
      </c>
      <c r="E98" s="460"/>
      <c r="F98" s="460"/>
      <c r="G98" s="472"/>
      <c r="H98" s="486" t="s">
        <v>280</v>
      </c>
    </row>
    <row r="99" spans="1:9" ht="12.75">
      <c r="A99" s="72" t="s">
        <v>313</v>
      </c>
      <c r="B99" s="443"/>
      <c r="C99" s="460">
        <v>39480</v>
      </c>
      <c r="D99" s="460">
        <v>685520</v>
      </c>
      <c r="E99" s="460"/>
      <c r="F99" s="460"/>
      <c r="G99" s="472"/>
      <c r="H99" s="486" t="s">
        <v>280</v>
      </c>
      <c r="I99" s="349" t="s">
        <v>514</v>
      </c>
    </row>
    <row r="100" spans="1:8" ht="12.75">
      <c r="A100" s="63" t="s">
        <v>490</v>
      </c>
      <c r="B100" s="443"/>
      <c r="C100" s="381">
        <f>C101+C102</f>
        <v>53000</v>
      </c>
      <c r="D100" s="381">
        <f>D101+D102</f>
        <v>0</v>
      </c>
      <c r="E100" s="381">
        <f>E101+E102</f>
        <v>0</v>
      </c>
      <c r="F100" s="381">
        <f>F101+F102</f>
        <v>0</v>
      </c>
      <c r="G100" s="381">
        <f>G101+G102</f>
        <v>0</v>
      </c>
      <c r="H100" s="494" t="s">
        <v>216</v>
      </c>
    </row>
    <row r="101" spans="1:8" ht="12.75">
      <c r="A101" s="72" t="s">
        <v>207</v>
      </c>
      <c r="B101" s="443"/>
      <c r="C101" s="460"/>
      <c r="D101" s="460"/>
      <c r="E101" s="460"/>
      <c r="F101" s="460"/>
      <c r="G101" s="472"/>
      <c r="H101" s="494" t="s">
        <v>216</v>
      </c>
    </row>
    <row r="102" spans="1:8" ht="12.75">
      <c r="A102" s="72" t="s">
        <v>313</v>
      </c>
      <c r="B102" s="443"/>
      <c r="C102" s="460">
        <v>53000</v>
      </c>
      <c r="D102" s="460"/>
      <c r="E102" s="460"/>
      <c r="F102" s="460"/>
      <c r="G102" s="472"/>
      <c r="H102" s="494" t="s">
        <v>216</v>
      </c>
    </row>
    <row r="103" spans="1:8" ht="12.75">
      <c r="A103" s="63" t="s">
        <v>479</v>
      </c>
      <c r="B103" s="443"/>
      <c r="C103" s="381">
        <f>C104+C105</f>
        <v>238936</v>
      </c>
      <c r="D103" s="381">
        <f>D104+D105</f>
        <v>50000</v>
      </c>
      <c r="E103" s="381">
        <f>E104+E105</f>
        <v>0</v>
      </c>
      <c r="F103" s="381">
        <f>F104+F105</f>
        <v>0</v>
      </c>
      <c r="G103" s="381">
        <f>G104+G105</f>
        <v>0</v>
      </c>
      <c r="H103" s="486" t="s">
        <v>226</v>
      </c>
    </row>
    <row r="104" spans="1:8" ht="12.75">
      <c r="A104" s="72" t="s">
        <v>207</v>
      </c>
      <c r="B104" s="443"/>
      <c r="C104" s="356"/>
      <c r="D104" s="460"/>
      <c r="E104" s="460"/>
      <c r="F104" s="460"/>
      <c r="G104" s="472"/>
      <c r="H104" s="486" t="s">
        <v>226</v>
      </c>
    </row>
    <row r="105" spans="1:8" ht="12.75">
      <c r="A105" s="72" t="s">
        <v>313</v>
      </c>
      <c r="B105" s="443"/>
      <c r="C105" s="460">
        <v>238936</v>
      </c>
      <c r="D105" s="460">
        <v>50000</v>
      </c>
      <c r="E105" s="460"/>
      <c r="F105" s="460"/>
      <c r="G105" s="472"/>
      <c r="H105" s="486" t="s">
        <v>226</v>
      </c>
    </row>
    <row r="106" spans="1:8" ht="12.75">
      <c r="A106" s="63" t="s">
        <v>480</v>
      </c>
      <c r="B106" s="443"/>
      <c r="C106" s="381">
        <f>C107+C108</f>
        <v>39960</v>
      </c>
      <c r="D106" s="381">
        <f>D107+D108</f>
        <v>0</v>
      </c>
      <c r="E106" s="381">
        <f>E107+E108</f>
        <v>0</v>
      </c>
      <c r="F106" s="381">
        <f>F107+F108</f>
        <v>0</v>
      </c>
      <c r="G106" s="381">
        <f>G107+G108</f>
        <v>0</v>
      </c>
      <c r="H106" s="486" t="s">
        <v>280</v>
      </c>
    </row>
    <row r="107" spans="1:8" ht="12.75">
      <c r="A107" s="72" t="s">
        <v>207</v>
      </c>
      <c r="B107" s="443"/>
      <c r="C107" s="460"/>
      <c r="D107" s="460"/>
      <c r="E107" s="460"/>
      <c r="F107" s="460"/>
      <c r="G107" s="472"/>
      <c r="H107" s="486" t="s">
        <v>280</v>
      </c>
    </row>
    <row r="108" spans="1:8" ht="12.75">
      <c r="A108" s="72" t="s">
        <v>313</v>
      </c>
      <c r="B108" s="443"/>
      <c r="C108" s="460">
        <v>39960</v>
      </c>
      <c r="D108" s="460"/>
      <c r="E108" s="460"/>
      <c r="F108" s="460"/>
      <c r="G108" s="472"/>
      <c r="H108" s="486" t="s">
        <v>280</v>
      </c>
    </row>
    <row r="109" spans="1:8" ht="12.75">
      <c r="A109" s="492" t="s">
        <v>481</v>
      </c>
      <c r="B109" s="443"/>
      <c r="C109" s="491">
        <f>C110+C111</f>
        <v>155000</v>
      </c>
      <c r="D109" s="491">
        <f>D110+D111</f>
        <v>140000</v>
      </c>
      <c r="E109" s="491">
        <f>E110+E111</f>
        <v>0</v>
      </c>
      <c r="F109" s="491">
        <f>F110+F111</f>
        <v>0</v>
      </c>
      <c r="G109" s="491">
        <f>G110+G111</f>
        <v>0</v>
      </c>
      <c r="H109" s="490" t="s">
        <v>226</v>
      </c>
    </row>
    <row r="110" spans="1:8" ht="12.75">
      <c r="A110" s="472" t="s">
        <v>207</v>
      </c>
      <c r="B110" s="443"/>
      <c r="C110" s="460"/>
      <c r="D110" s="460"/>
      <c r="E110" s="460"/>
      <c r="F110" s="460"/>
      <c r="G110" s="472"/>
      <c r="H110" s="486" t="s">
        <v>226</v>
      </c>
    </row>
    <row r="111" spans="1:8" ht="12.75">
      <c r="A111" s="472" t="s">
        <v>313</v>
      </c>
      <c r="B111" s="443"/>
      <c r="C111" s="460">
        <v>155000</v>
      </c>
      <c r="D111" s="460">
        <v>140000</v>
      </c>
      <c r="E111" s="460"/>
      <c r="F111" s="460"/>
      <c r="G111" s="472"/>
      <c r="H111" s="486" t="s">
        <v>226</v>
      </c>
    </row>
    <row r="112" spans="1:8" ht="12.75">
      <c r="A112" s="492" t="s">
        <v>482</v>
      </c>
      <c r="B112" s="443"/>
      <c r="C112" s="491">
        <f>C113+C114</f>
        <v>0</v>
      </c>
      <c r="D112" s="491">
        <f>D113+D114</f>
        <v>119650</v>
      </c>
      <c r="E112" s="491">
        <f>E113+E114</f>
        <v>0</v>
      </c>
      <c r="F112" s="491">
        <f>F113+F114</f>
        <v>0</v>
      </c>
      <c r="G112" s="491">
        <f>G113+G114</f>
        <v>0</v>
      </c>
      <c r="H112" s="363" t="s">
        <v>259</v>
      </c>
    </row>
    <row r="113" spans="1:8" ht="12.75">
      <c r="A113" s="472" t="s">
        <v>207</v>
      </c>
      <c r="B113" s="443"/>
      <c r="C113" s="460"/>
      <c r="D113" s="460">
        <v>114000</v>
      </c>
      <c r="E113" s="460"/>
      <c r="F113" s="460"/>
      <c r="G113" s="472"/>
      <c r="H113" s="363" t="s">
        <v>259</v>
      </c>
    </row>
    <row r="114" spans="1:8" ht="12.75">
      <c r="A114" s="472" t="s">
        <v>313</v>
      </c>
      <c r="B114" s="443"/>
      <c r="C114" s="460"/>
      <c r="D114" s="460">
        <v>5650</v>
      </c>
      <c r="E114" s="460"/>
      <c r="F114" s="460"/>
      <c r="G114" s="472"/>
      <c r="H114" s="363" t="s">
        <v>259</v>
      </c>
    </row>
    <row r="115" spans="1:9" ht="12.75">
      <c r="A115" s="492" t="s">
        <v>513</v>
      </c>
      <c r="B115" s="443"/>
      <c r="C115" s="491">
        <f>C116+C117</f>
        <v>0</v>
      </c>
      <c r="D115" s="491">
        <f>D116+D117</f>
        <v>83333</v>
      </c>
      <c r="E115" s="491">
        <f>E116+E117</f>
        <v>0</v>
      </c>
      <c r="F115" s="491">
        <f>F116+F117</f>
        <v>0</v>
      </c>
      <c r="G115" s="491">
        <f>G116+G117</f>
        <v>0</v>
      </c>
      <c r="H115" s="511" t="s">
        <v>216</v>
      </c>
      <c r="I115" s="499"/>
    </row>
    <row r="116" spans="1:8" ht="12.75">
      <c r="A116" s="472" t="s">
        <v>207</v>
      </c>
      <c r="B116" s="443"/>
      <c r="C116" s="460"/>
      <c r="D116" s="460"/>
      <c r="E116" s="460"/>
      <c r="F116" s="460"/>
      <c r="G116" s="472"/>
      <c r="H116" s="511" t="s">
        <v>216</v>
      </c>
    </row>
    <row r="117" spans="1:9" ht="12.75">
      <c r="A117" s="472" t="s">
        <v>313</v>
      </c>
      <c r="B117" s="443"/>
      <c r="C117" s="460"/>
      <c r="D117" s="460">
        <v>83333</v>
      </c>
      <c r="E117" s="460"/>
      <c r="F117" s="460"/>
      <c r="G117" s="472"/>
      <c r="H117" s="511" t="s">
        <v>216</v>
      </c>
      <c r="I117" s="349" t="s">
        <v>626</v>
      </c>
    </row>
    <row r="118" spans="1:8" ht="12.75">
      <c r="A118" s="492" t="s">
        <v>483</v>
      </c>
      <c r="B118" s="443"/>
      <c r="C118" s="491">
        <f>C119+C120</f>
        <v>0</v>
      </c>
      <c r="D118" s="491">
        <f>D119+D120</f>
        <v>0</v>
      </c>
      <c r="E118" s="491">
        <f>E119+E120</f>
        <v>140000</v>
      </c>
      <c r="F118" s="491">
        <f>F119+F120</f>
        <v>0</v>
      </c>
      <c r="G118" s="491">
        <f>G119+G120</f>
        <v>0</v>
      </c>
      <c r="H118" s="363" t="s">
        <v>247</v>
      </c>
    </row>
    <row r="119" spans="1:8" ht="12.75">
      <c r="A119" s="472" t="s">
        <v>207</v>
      </c>
      <c r="B119" s="443"/>
      <c r="C119" s="460"/>
      <c r="D119" s="460"/>
      <c r="E119" s="460">
        <v>125000</v>
      </c>
      <c r="F119" s="460"/>
      <c r="G119" s="472"/>
      <c r="H119" s="363" t="s">
        <v>247</v>
      </c>
    </row>
    <row r="120" spans="1:8" ht="12.75">
      <c r="A120" s="472" t="s">
        <v>313</v>
      </c>
      <c r="B120" s="443"/>
      <c r="C120" s="460"/>
      <c r="D120" s="460"/>
      <c r="E120" s="460">
        <v>15000</v>
      </c>
      <c r="F120" s="460"/>
      <c r="G120" s="472"/>
      <c r="H120" s="363" t="s">
        <v>247</v>
      </c>
    </row>
    <row r="121" spans="1:8" ht="12.75">
      <c r="A121" s="492" t="s">
        <v>484</v>
      </c>
      <c r="B121" s="443"/>
      <c r="C121" s="491">
        <f>C122+C123</f>
        <v>0</v>
      </c>
      <c r="D121" s="491">
        <f>D122+D123</f>
        <v>115003</v>
      </c>
      <c r="E121" s="491">
        <f>E122+E123</f>
        <v>0</v>
      </c>
      <c r="F121" s="491">
        <f>F122+F123</f>
        <v>0</v>
      </c>
      <c r="G121" s="491">
        <f>G122+G123</f>
        <v>0</v>
      </c>
      <c r="H121" s="363" t="s">
        <v>273</v>
      </c>
    </row>
    <row r="122" spans="1:8" ht="12.75">
      <c r="A122" s="472" t="s">
        <v>207</v>
      </c>
      <c r="B122" s="443"/>
      <c r="C122" s="460"/>
      <c r="D122" s="460">
        <v>100000</v>
      </c>
      <c r="E122" s="460"/>
      <c r="F122" s="460"/>
      <c r="G122" s="472"/>
      <c r="H122" s="486" t="s">
        <v>273</v>
      </c>
    </row>
    <row r="123" spans="1:8" ht="12.75">
      <c r="A123" s="472" t="s">
        <v>313</v>
      </c>
      <c r="B123" s="443"/>
      <c r="C123" s="460"/>
      <c r="D123" s="460">
        <v>15003</v>
      </c>
      <c r="E123" s="460"/>
      <c r="F123" s="460"/>
      <c r="G123" s="472"/>
      <c r="H123" s="486" t="s">
        <v>273</v>
      </c>
    </row>
    <row r="124" spans="1:8" ht="12.75">
      <c r="A124" s="492" t="s">
        <v>485</v>
      </c>
      <c r="B124" s="443"/>
      <c r="C124" s="491">
        <f>C125+C126</f>
        <v>84644</v>
      </c>
      <c r="D124" s="491">
        <f>D125+D126</f>
        <v>70000</v>
      </c>
      <c r="E124" s="491">
        <f>E125+E126</f>
        <v>0</v>
      </c>
      <c r="F124" s="491">
        <f>F125+F126</f>
        <v>0</v>
      </c>
      <c r="G124" s="491">
        <f>G125+G126</f>
        <v>0</v>
      </c>
      <c r="H124" s="363" t="s">
        <v>226</v>
      </c>
    </row>
    <row r="125" spans="1:8" ht="12.75">
      <c r="A125" s="472" t="s">
        <v>207</v>
      </c>
      <c r="B125" s="443"/>
      <c r="C125" s="460"/>
      <c r="D125" s="460"/>
      <c r="E125" s="460"/>
      <c r="F125" s="460"/>
      <c r="G125" s="472"/>
      <c r="H125" s="486" t="s">
        <v>226</v>
      </c>
    </row>
    <row r="126" spans="1:8" ht="12.75">
      <c r="A126" s="472" t="s">
        <v>313</v>
      </c>
      <c r="B126" s="443"/>
      <c r="C126" s="460">
        <v>84644</v>
      </c>
      <c r="D126" s="460">
        <v>70000</v>
      </c>
      <c r="E126" s="460"/>
      <c r="F126" s="460"/>
      <c r="G126" s="472"/>
      <c r="H126" s="486" t="s">
        <v>226</v>
      </c>
    </row>
    <row r="127" spans="1:8" ht="12.75">
      <c r="A127" s="492" t="s">
        <v>486</v>
      </c>
      <c r="B127" s="443"/>
      <c r="C127" s="443">
        <f>C128+C129</f>
        <v>239737</v>
      </c>
      <c r="D127" s="443">
        <f>D128+D129</f>
        <v>28000</v>
      </c>
      <c r="E127" s="443">
        <f>E128+E129</f>
        <v>0</v>
      </c>
      <c r="F127" s="443">
        <f>F128+F129</f>
        <v>0</v>
      </c>
      <c r="G127" s="443">
        <f>G128+G129</f>
        <v>0</v>
      </c>
      <c r="H127" s="312" t="s">
        <v>226</v>
      </c>
    </row>
    <row r="128" spans="1:8" ht="12.75">
      <c r="A128" s="472" t="s">
        <v>207</v>
      </c>
      <c r="B128" s="443"/>
      <c r="C128" s="472">
        <v>29801</v>
      </c>
      <c r="D128" s="472"/>
      <c r="E128" s="472"/>
      <c r="F128" s="472"/>
      <c r="G128" s="472"/>
      <c r="H128" s="486" t="s">
        <v>226</v>
      </c>
    </row>
    <row r="129" spans="1:8" ht="12.75">
      <c r="A129" s="472" t="s">
        <v>313</v>
      </c>
      <c r="B129" s="443"/>
      <c r="C129" s="472">
        <v>209936</v>
      </c>
      <c r="D129" s="472">
        <v>28000</v>
      </c>
      <c r="E129" s="472"/>
      <c r="F129" s="472"/>
      <c r="G129" s="472"/>
      <c r="H129" s="486" t="s">
        <v>226</v>
      </c>
    </row>
    <row r="130" spans="1:8" ht="12.75">
      <c r="A130" s="492" t="s">
        <v>487</v>
      </c>
      <c r="B130" s="443"/>
      <c r="C130" s="443">
        <f>C131+C132</f>
        <v>437359</v>
      </c>
      <c r="D130" s="443">
        <f>D131+D132</f>
        <v>0</v>
      </c>
      <c r="E130" s="443">
        <f>E131+E132</f>
        <v>0</v>
      </c>
      <c r="F130" s="443">
        <f>F131+F132</f>
        <v>0</v>
      </c>
      <c r="G130" s="443">
        <f>G131+G132</f>
        <v>0</v>
      </c>
      <c r="H130" s="496" t="s">
        <v>273</v>
      </c>
    </row>
    <row r="131" spans="1:8" ht="12.75">
      <c r="A131" s="472" t="s">
        <v>207</v>
      </c>
      <c r="B131" s="443"/>
      <c r="C131" s="472">
        <v>53000</v>
      </c>
      <c r="D131" s="472"/>
      <c r="E131" s="472"/>
      <c r="F131" s="472"/>
      <c r="G131" s="472"/>
      <c r="H131" s="486" t="s">
        <v>273</v>
      </c>
    </row>
    <row r="132" spans="1:8" ht="12.75">
      <c r="A132" s="472" t="s">
        <v>313</v>
      </c>
      <c r="B132" s="443"/>
      <c r="C132" s="472">
        <v>384359</v>
      </c>
      <c r="D132" s="472"/>
      <c r="E132" s="472"/>
      <c r="F132" s="472"/>
      <c r="G132" s="472"/>
      <c r="H132" s="486" t="s">
        <v>273</v>
      </c>
    </row>
    <row r="133" spans="1:8" ht="12.75">
      <c r="A133" s="492" t="s">
        <v>488</v>
      </c>
      <c r="B133" s="443"/>
      <c r="C133" s="443">
        <f>C134+C135</f>
        <v>8256</v>
      </c>
      <c r="D133" s="443">
        <f>D134+D135</f>
        <v>191744</v>
      </c>
      <c r="E133" s="443">
        <f>E134+E135</f>
        <v>0</v>
      </c>
      <c r="F133" s="443">
        <f>F134+F135</f>
        <v>0</v>
      </c>
      <c r="G133" s="443">
        <f>G134+G135</f>
        <v>0</v>
      </c>
      <c r="H133" s="312" t="s">
        <v>242</v>
      </c>
    </row>
    <row r="134" spans="1:8" ht="12.75">
      <c r="A134" s="472" t="s">
        <v>207</v>
      </c>
      <c r="B134" s="443"/>
      <c r="C134" s="472"/>
      <c r="D134" s="472">
        <v>180000</v>
      </c>
      <c r="E134" s="472"/>
      <c r="F134" s="472"/>
      <c r="G134" s="472"/>
      <c r="H134" s="312" t="s">
        <v>242</v>
      </c>
    </row>
    <row r="135" spans="1:8" ht="12.75">
      <c r="A135" s="472" t="s">
        <v>313</v>
      </c>
      <c r="B135" s="443"/>
      <c r="C135" s="472">
        <v>8256</v>
      </c>
      <c r="D135" s="472">
        <v>11744</v>
      </c>
      <c r="E135" s="472"/>
      <c r="F135" s="472"/>
      <c r="G135" s="472"/>
      <c r="H135" s="312" t="s">
        <v>242</v>
      </c>
    </row>
    <row r="136" spans="1:8" ht="12.75">
      <c r="A136" s="492" t="s">
        <v>491</v>
      </c>
      <c r="B136" s="443"/>
      <c r="C136" s="443">
        <f>C137+C138</f>
        <v>10000</v>
      </c>
      <c r="D136" s="443"/>
      <c r="E136" s="443"/>
      <c r="F136" s="443"/>
      <c r="G136" s="443"/>
      <c r="H136" s="496" t="s">
        <v>226</v>
      </c>
    </row>
    <row r="137" spans="1:8" ht="12.75">
      <c r="A137" s="472" t="s">
        <v>207</v>
      </c>
      <c r="B137" s="443"/>
      <c r="C137" s="472"/>
      <c r="D137" s="472"/>
      <c r="E137" s="472"/>
      <c r="F137" s="472"/>
      <c r="G137" s="472"/>
      <c r="H137" s="486" t="s">
        <v>226</v>
      </c>
    </row>
    <row r="138" spans="1:8" ht="12.75">
      <c r="A138" s="472" t="s">
        <v>313</v>
      </c>
      <c r="B138" s="443"/>
      <c r="C138" s="472">
        <v>10000</v>
      </c>
      <c r="D138" s="472"/>
      <c r="E138" s="472"/>
      <c r="F138" s="472"/>
      <c r="G138" s="472"/>
      <c r="H138" s="486" t="s">
        <v>226</v>
      </c>
    </row>
    <row r="139" spans="1:8" ht="12.75">
      <c r="A139" s="492" t="s">
        <v>627</v>
      </c>
      <c r="B139" s="443"/>
      <c r="C139" s="443">
        <f>C140+C141</f>
        <v>85099</v>
      </c>
      <c r="D139" s="443">
        <f>D140+D141</f>
        <v>12000</v>
      </c>
      <c r="E139" s="443">
        <f>E140+E141</f>
        <v>0</v>
      </c>
      <c r="F139" s="443">
        <f>F140+F141</f>
        <v>0</v>
      </c>
      <c r="G139" s="443">
        <f>G140+G141</f>
        <v>0</v>
      </c>
      <c r="H139" s="496" t="s">
        <v>216</v>
      </c>
    </row>
    <row r="140" spans="1:10" ht="12.75">
      <c r="A140" s="472" t="s">
        <v>207</v>
      </c>
      <c r="B140" s="443"/>
      <c r="C140" s="472"/>
      <c r="D140" s="378"/>
      <c r="E140" s="472"/>
      <c r="F140" s="472"/>
      <c r="G140" s="472"/>
      <c r="H140" s="496" t="s">
        <v>216</v>
      </c>
      <c r="I140" s="501" t="s">
        <v>506</v>
      </c>
      <c r="J140" s="457"/>
    </row>
    <row r="141" spans="1:8" ht="12.75">
      <c r="A141" s="472" t="s">
        <v>313</v>
      </c>
      <c r="B141" s="443"/>
      <c r="C141" s="472">
        <v>85099</v>
      </c>
      <c r="D141" s="378">
        <v>12000</v>
      </c>
      <c r="E141" s="472"/>
      <c r="F141" s="472"/>
      <c r="G141" s="472"/>
      <c r="H141" s="496" t="s">
        <v>216</v>
      </c>
    </row>
    <row r="142" spans="1:8" ht="12.75">
      <c r="A142" s="492" t="s">
        <v>492</v>
      </c>
      <c r="B142" s="443"/>
      <c r="C142" s="443">
        <f>C143+C144</f>
        <v>58608</v>
      </c>
      <c r="D142" s="443">
        <f>D143+D144</f>
        <v>34200</v>
      </c>
      <c r="E142" s="443"/>
      <c r="F142" s="443"/>
      <c r="G142" s="443"/>
      <c r="H142" s="496" t="s">
        <v>226</v>
      </c>
    </row>
    <row r="143" spans="1:8" ht="12.75">
      <c r="A143" s="472" t="s">
        <v>207</v>
      </c>
      <c r="B143" s="443"/>
      <c r="C143" s="472"/>
      <c r="D143" s="472"/>
      <c r="E143" s="472"/>
      <c r="F143" s="472"/>
      <c r="G143" s="472"/>
      <c r="H143" s="496" t="s">
        <v>226</v>
      </c>
    </row>
    <row r="144" spans="1:8" ht="12.75">
      <c r="A144" s="472" t="s">
        <v>313</v>
      </c>
      <c r="B144" s="443"/>
      <c r="C144" s="472">
        <v>58608</v>
      </c>
      <c r="D144" s="472">
        <v>34200</v>
      </c>
      <c r="E144" s="472"/>
      <c r="F144" s="472"/>
      <c r="G144" s="472"/>
      <c r="H144" s="496" t="s">
        <v>226</v>
      </c>
    </row>
    <row r="145" spans="1:8" ht="12.75">
      <c r="A145" s="492" t="s">
        <v>493</v>
      </c>
      <c r="B145" s="443"/>
      <c r="C145" s="443">
        <f>C146+C147</f>
        <v>49200</v>
      </c>
      <c r="D145" s="443"/>
      <c r="E145" s="443"/>
      <c r="F145" s="443"/>
      <c r="G145" s="443"/>
      <c r="H145" s="496" t="s">
        <v>242</v>
      </c>
    </row>
    <row r="146" spans="1:8" ht="12.75">
      <c r="A146" s="472" t="s">
        <v>207</v>
      </c>
      <c r="B146" s="443"/>
      <c r="C146" s="472"/>
      <c r="D146" s="472"/>
      <c r="E146" s="472"/>
      <c r="F146" s="472"/>
      <c r="G146" s="472"/>
      <c r="H146" s="496" t="s">
        <v>242</v>
      </c>
    </row>
    <row r="147" spans="1:8" ht="12.75">
      <c r="A147" s="472" t="s">
        <v>313</v>
      </c>
      <c r="B147" s="443"/>
      <c r="C147" s="472">
        <v>49200</v>
      </c>
      <c r="D147" s="472"/>
      <c r="E147" s="472"/>
      <c r="F147" s="472"/>
      <c r="G147" s="472"/>
      <c r="H147" s="496" t="s">
        <v>242</v>
      </c>
    </row>
    <row r="148" spans="1:8" ht="12.75">
      <c r="A148" s="492" t="s">
        <v>494</v>
      </c>
      <c r="B148" s="443"/>
      <c r="C148" s="443">
        <f>C149+C150</f>
        <v>0</v>
      </c>
      <c r="D148" s="443"/>
      <c r="E148" s="443"/>
      <c r="F148" s="443"/>
      <c r="G148" s="443"/>
      <c r="H148" s="496" t="s">
        <v>242</v>
      </c>
    </row>
    <row r="149" spans="1:8" ht="12.75">
      <c r="A149" s="472" t="s">
        <v>207</v>
      </c>
      <c r="B149" s="443"/>
      <c r="C149" s="472"/>
      <c r="D149" s="472"/>
      <c r="E149" s="472"/>
      <c r="F149" s="472"/>
      <c r="G149" s="472"/>
      <c r="H149" s="496" t="s">
        <v>242</v>
      </c>
    </row>
    <row r="150" spans="1:8" ht="12.75">
      <c r="A150" s="472" t="s">
        <v>313</v>
      </c>
      <c r="B150" s="443"/>
      <c r="C150" s="472"/>
      <c r="D150" s="472"/>
      <c r="E150" s="472"/>
      <c r="F150" s="472"/>
      <c r="G150" s="472"/>
      <c r="H150" s="496" t="s">
        <v>242</v>
      </c>
    </row>
    <row r="151" spans="1:8" ht="12.75">
      <c r="A151" s="492" t="s">
        <v>495</v>
      </c>
      <c r="B151" s="443"/>
      <c r="C151" s="443">
        <f>C152+C153</f>
        <v>18000</v>
      </c>
      <c r="D151" s="443"/>
      <c r="E151" s="443"/>
      <c r="F151" s="443"/>
      <c r="G151" s="443"/>
      <c r="H151" s="496" t="s">
        <v>247</v>
      </c>
    </row>
    <row r="152" spans="1:8" ht="12.75">
      <c r="A152" s="472" t="s">
        <v>207</v>
      </c>
      <c r="B152" s="443"/>
      <c r="C152" s="472"/>
      <c r="D152" s="472"/>
      <c r="E152" s="472"/>
      <c r="F152" s="472"/>
      <c r="G152" s="472"/>
      <c r="H152" s="496" t="s">
        <v>247</v>
      </c>
    </row>
    <row r="153" spans="1:8" ht="12.75">
      <c r="A153" s="472" t="s">
        <v>313</v>
      </c>
      <c r="B153" s="443"/>
      <c r="C153" s="472">
        <v>18000</v>
      </c>
      <c r="D153" s="472"/>
      <c r="E153" s="472"/>
      <c r="F153" s="472"/>
      <c r="G153" s="472"/>
      <c r="H153" s="496" t="s">
        <v>247</v>
      </c>
    </row>
    <row r="154" spans="1:8" ht="12.75">
      <c r="A154" s="492" t="s">
        <v>496</v>
      </c>
      <c r="B154" s="443"/>
      <c r="C154" s="443">
        <f>C155+C156</f>
        <v>268000</v>
      </c>
      <c r="D154" s="443">
        <f>D155+D156</f>
        <v>243365</v>
      </c>
      <c r="E154" s="443"/>
      <c r="F154" s="443"/>
      <c r="G154" s="443"/>
      <c r="H154" s="496" t="s">
        <v>247</v>
      </c>
    </row>
    <row r="155" spans="1:8" ht="12.75">
      <c r="A155" s="472" t="s">
        <v>207</v>
      </c>
      <c r="B155" s="443"/>
      <c r="C155" s="472">
        <v>268000</v>
      </c>
      <c r="D155" s="472"/>
      <c r="E155" s="472"/>
      <c r="F155" s="472"/>
      <c r="G155" s="472"/>
      <c r="H155" s="496" t="s">
        <v>247</v>
      </c>
    </row>
    <row r="156" spans="1:8" ht="12.75">
      <c r="A156" s="472" t="s">
        <v>313</v>
      </c>
      <c r="B156" s="443"/>
      <c r="C156" s="472"/>
      <c r="D156" s="472">
        <v>243365</v>
      </c>
      <c r="E156" s="472"/>
      <c r="F156" s="472"/>
      <c r="G156" s="472"/>
      <c r="H156" s="496" t="s">
        <v>247</v>
      </c>
    </row>
    <row r="157" spans="1:8" ht="12.75">
      <c r="A157" s="492" t="s">
        <v>497</v>
      </c>
      <c r="B157" s="443"/>
      <c r="C157" s="443">
        <f>C158+C159</f>
        <v>5000</v>
      </c>
      <c r="D157" s="443"/>
      <c r="E157" s="443"/>
      <c r="F157" s="443"/>
      <c r="G157" s="443"/>
      <c r="H157" s="496" t="s">
        <v>247</v>
      </c>
    </row>
    <row r="158" spans="1:8" ht="12.75">
      <c r="A158" s="472" t="s">
        <v>207</v>
      </c>
      <c r="B158" s="443"/>
      <c r="C158" s="472"/>
      <c r="D158" s="472"/>
      <c r="E158" s="472"/>
      <c r="F158" s="472"/>
      <c r="G158" s="472"/>
      <c r="H158" s="496" t="s">
        <v>247</v>
      </c>
    </row>
    <row r="159" spans="1:8" ht="12.75">
      <c r="A159" s="472" t="s">
        <v>313</v>
      </c>
      <c r="B159" s="443"/>
      <c r="C159" s="472">
        <v>5000</v>
      </c>
      <c r="D159" s="472"/>
      <c r="E159" s="472"/>
      <c r="F159" s="472"/>
      <c r="G159" s="472"/>
      <c r="H159" s="496" t="s">
        <v>247</v>
      </c>
    </row>
    <row r="160" spans="1:8" ht="12.75">
      <c r="A160" s="492" t="s">
        <v>498</v>
      </c>
      <c r="B160" s="443"/>
      <c r="C160" s="443">
        <f>C161+C162</f>
        <v>25000</v>
      </c>
      <c r="D160" s="443"/>
      <c r="E160" s="443"/>
      <c r="F160" s="443"/>
      <c r="G160" s="443"/>
      <c r="H160" s="496" t="s">
        <v>247</v>
      </c>
    </row>
    <row r="161" spans="1:8" ht="12.75">
      <c r="A161" s="472" t="s">
        <v>207</v>
      </c>
      <c r="B161" s="443"/>
      <c r="C161" s="472">
        <v>25000</v>
      </c>
      <c r="D161" s="472"/>
      <c r="E161" s="472"/>
      <c r="F161" s="472"/>
      <c r="G161" s="472"/>
      <c r="H161" s="496" t="s">
        <v>247</v>
      </c>
    </row>
    <row r="162" spans="1:8" ht="12.75">
      <c r="A162" s="472" t="s">
        <v>313</v>
      </c>
      <c r="B162" s="443"/>
      <c r="C162" s="378"/>
      <c r="D162" s="378"/>
      <c r="E162" s="378"/>
      <c r="F162" s="378"/>
      <c r="G162" s="472"/>
      <c r="H162" s="496" t="s">
        <v>247</v>
      </c>
    </row>
    <row r="163" spans="1:8" ht="12.75">
      <c r="A163" s="492" t="s">
        <v>499</v>
      </c>
      <c r="B163" s="443"/>
      <c r="C163" s="443">
        <f>C164+C165</f>
        <v>5000</v>
      </c>
      <c r="D163" s="443"/>
      <c r="E163" s="443"/>
      <c r="F163" s="443">
        <f>F164+F165</f>
        <v>0</v>
      </c>
      <c r="G163" s="443"/>
      <c r="H163" s="496" t="s">
        <v>247</v>
      </c>
    </row>
    <row r="164" spans="1:8" ht="12.75">
      <c r="A164" s="472" t="s">
        <v>207</v>
      </c>
      <c r="B164" s="443"/>
      <c r="C164" s="378"/>
      <c r="D164" s="378"/>
      <c r="E164" s="378"/>
      <c r="F164" s="378"/>
      <c r="G164" s="472"/>
      <c r="H164" s="496" t="s">
        <v>247</v>
      </c>
    </row>
    <row r="165" spans="1:8" ht="12.75">
      <c r="A165" s="495" t="s">
        <v>313</v>
      </c>
      <c r="B165" s="443"/>
      <c r="C165" s="378">
        <v>5000</v>
      </c>
      <c r="D165" s="378"/>
      <c r="E165" s="378"/>
      <c r="F165" s="378"/>
      <c r="G165" s="472"/>
      <c r="H165" s="496" t="s">
        <v>247</v>
      </c>
    </row>
    <row r="166" spans="1:8" ht="12.75">
      <c r="A166" s="492" t="s">
        <v>500</v>
      </c>
      <c r="B166" s="443"/>
      <c r="C166" s="443">
        <f>C167+C168</f>
        <v>125085</v>
      </c>
      <c r="D166" s="443"/>
      <c r="E166" s="443"/>
      <c r="F166" s="443"/>
      <c r="G166" s="443"/>
      <c r="H166" s="496" t="s">
        <v>253</v>
      </c>
    </row>
    <row r="167" spans="1:8" ht="12.75">
      <c r="A167" s="472" t="s">
        <v>207</v>
      </c>
      <c r="B167" s="443"/>
      <c r="C167" s="472">
        <v>109860</v>
      </c>
      <c r="D167" s="472"/>
      <c r="E167" s="472"/>
      <c r="F167" s="472"/>
      <c r="G167" s="472"/>
      <c r="H167" s="496" t="s">
        <v>253</v>
      </c>
    </row>
    <row r="168" spans="1:8" ht="12.75">
      <c r="A168" s="495" t="s">
        <v>313</v>
      </c>
      <c r="B168" s="443"/>
      <c r="C168" s="472">
        <v>15225</v>
      </c>
      <c r="D168" s="472"/>
      <c r="E168" s="472"/>
      <c r="F168" s="472"/>
      <c r="G168" s="472"/>
      <c r="H168" s="496" t="s">
        <v>253</v>
      </c>
    </row>
    <row r="169" spans="1:8" ht="12.75">
      <c r="A169" s="492" t="s">
        <v>501</v>
      </c>
      <c r="B169" s="443"/>
      <c r="C169" s="443">
        <f>C170+C171</f>
        <v>5000</v>
      </c>
      <c r="D169" s="443"/>
      <c r="E169" s="443"/>
      <c r="F169" s="443"/>
      <c r="G169" s="443"/>
      <c r="H169" s="496" t="s">
        <v>259</v>
      </c>
    </row>
    <row r="170" spans="1:8" ht="12.75">
      <c r="A170" s="472" t="s">
        <v>207</v>
      </c>
      <c r="B170" s="443"/>
      <c r="C170" s="472"/>
      <c r="D170" s="472"/>
      <c r="E170" s="472"/>
      <c r="F170" s="472"/>
      <c r="G170" s="472"/>
      <c r="H170" s="496" t="s">
        <v>259</v>
      </c>
    </row>
    <row r="171" spans="1:8" ht="12.75">
      <c r="A171" s="495" t="s">
        <v>313</v>
      </c>
      <c r="B171" s="443"/>
      <c r="C171" s="472">
        <v>5000</v>
      </c>
      <c r="D171" s="472"/>
      <c r="E171" s="472"/>
      <c r="F171" s="472"/>
      <c r="G171" s="472"/>
      <c r="H171" s="496" t="s">
        <v>259</v>
      </c>
    </row>
    <row r="172" spans="1:8" ht="12.75">
      <c r="A172" s="492" t="s">
        <v>502</v>
      </c>
      <c r="B172" s="443"/>
      <c r="C172" s="498">
        <f>C173+C174</f>
        <v>75000</v>
      </c>
      <c r="D172" s="497"/>
      <c r="E172" s="497"/>
      <c r="F172" s="497"/>
      <c r="G172" s="497"/>
      <c r="H172" s="496" t="s">
        <v>259</v>
      </c>
    </row>
    <row r="173" spans="1:8" ht="12.75">
      <c r="A173" s="472" t="s">
        <v>207</v>
      </c>
      <c r="B173" s="443"/>
      <c r="C173" s="472">
        <v>75000</v>
      </c>
      <c r="D173" s="472"/>
      <c r="E173" s="472"/>
      <c r="F173" s="472"/>
      <c r="G173" s="472"/>
      <c r="H173" s="496" t="s">
        <v>259</v>
      </c>
    </row>
    <row r="174" spans="1:8" ht="12.75">
      <c r="A174" s="495" t="s">
        <v>313</v>
      </c>
      <c r="B174" s="443"/>
      <c r="C174" s="472"/>
      <c r="D174" s="472"/>
      <c r="E174" s="472"/>
      <c r="F174" s="472"/>
      <c r="G174" s="472"/>
      <c r="H174" s="496" t="s">
        <v>259</v>
      </c>
    </row>
    <row r="175" spans="1:8" ht="12.75">
      <c r="A175" s="492" t="s">
        <v>503</v>
      </c>
      <c r="B175" s="443"/>
      <c r="C175" s="498">
        <f>C176+C177</f>
        <v>90000</v>
      </c>
      <c r="D175" s="443">
        <f>D176+D177</f>
        <v>0</v>
      </c>
      <c r="E175" s="443">
        <f>E176+E177</f>
        <v>83269</v>
      </c>
      <c r="F175" s="443"/>
      <c r="G175" s="443"/>
      <c r="H175" s="496" t="s">
        <v>273</v>
      </c>
    </row>
    <row r="176" spans="1:8" ht="12.75">
      <c r="A176" s="472" t="s">
        <v>207</v>
      </c>
      <c r="B176" s="443"/>
      <c r="C176" s="472"/>
      <c r="D176" s="472"/>
      <c r="E176" s="472"/>
      <c r="F176" s="472"/>
      <c r="G176" s="472"/>
      <c r="H176" s="486" t="s">
        <v>273</v>
      </c>
    </row>
    <row r="177" spans="1:9" ht="12.75">
      <c r="A177" s="495" t="s">
        <v>313</v>
      </c>
      <c r="B177" s="443"/>
      <c r="C177" s="472">
        <v>90000</v>
      </c>
      <c r="E177" s="500">
        <v>83269</v>
      </c>
      <c r="F177" s="472"/>
      <c r="G177" s="472"/>
      <c r="H177" s="486" t="s">
        <v>273</v>
      </c>
      <c r="I177" s="501" t="s">
        <v>507</v>
      </c>
    </row>
    <row r="178" spans="1:8" ht="12.75">
      <c r="A178" s="492" t="s">
        <v>512</v>
      </c>
      <c r="B178" s="443"/>
      <c r="C178" s="443">
        <f>C179+C180</f>
        <v>12028</v>
      </c>
      <c r="D178" s="443"/>
      <c r="E178" s="443"/>
      <c r="F178" s="443"/>
      <c r="G178" s="443"/>
      <c r="H178" s="496" t="s">
        <v>273</v>
      </c>
    </row>
    <row r="179" spans="1:8" ht="12.75">
      <c r="A179" s="472" t="s">
        <v>207</v>
      </c>
      <c r="B179" s="443"/>
      <c r="C179" s="472"/>
      <c r="D179" s="472"/>
      <c r="E179" s="472"/>
      <c r="F179" s="472"/>
      <c r="G179" s="472"/>
      <c r="H179" s="486" t="s">
        <v>273</v>
      </c>
    </row>
    <row r="180" spans="1:8" ht="12.75">
      <c r="A180" s="495" t="s">
        <v>313</v>
      </c>
      <c r="B180" s="443"/>
      <c r="C180" s="472">
        <v>12028</v>
      </c>
      <c r="D180" s="472"/>
      <c r="E180" s="472"/>
      <c r="F180" s="472"/>
      <c r="G180" s="472"/>
      <c r="H180" s="486" t="s">
        <v>273</v>
      </c>
    </row>
    <row r="181" spans="1:8" ht="12.75">
      <c r="A181" s="492" t="s">
        <v>504</v>
      </c>
      <c r="B181" s="443"/>
      <c r="C181" s="443">
        <f>C182+C183</f>
        <v>14580</v>
      </c>
      <c r="D181" s="443"/>
      <c r="E181" s="443"/>
      <c r="F181" s="443"/>
      <c r="G181" s="443"/>
      <c r="H181" s="496" t="s">
        <v>259</v>
      </c>
    </row>
    <row r="182" spans="1:8" ht="12.75">
      <c r="A182" s="472" t="s">
        <v>207</v>
      </c>
      <c r="B182" s="443"/>
      <c r="C182" s="472"/>
      <c r="D182" s="472"/>
      <c r="E182" s="472"/>
      <c r="F182" s="472"/>
      <c r="G182" s="472"/>
      <c r="H182" s="496" t="s">
        <v>259</v>
      </c>
    </row>
    <row r="183" spans="1:8" ht="12.75">
      <c r="A183" s="495" t="s">
        <v>313</v>
      </c>
      <c r="B183" s="443"/>
      <c r="C183" s="472">
        <v>14580</v>
      </c>
      <c r="D183" s="472"/>
      <c r="E183" s="472"/>
      <c r="F183" s="472"/>
      <c r="G183" s="472"/>
      <c r="H183" s="496" t="s">
        <v>259</v>
      </c>
    </row>
    <row r="184" spans="1:9" ht="12.75">
      <c r="A184" s="492" t="s">
        <v>509</v>
      </c>
      <c r="B184" s="443"/>
      <c r="C184" s="443"/>
      <c r="D184" s="500">
        <f>D185+D186</f>
        <v>66720</v>
      </c>
      <c r="E184" s="443"/>
      <c r="F184" s="443"/>
      <c r="G184" s="443"/>
      <c r="H184" s="496" t="s">
        <v>259</v>
      </c>
      <c r="I184" s="501" t="s">
        <v>510</v>
      </c>
    </row>
    <row r="185" spans="1:8" ht="12.75">
      <c r="A185" s="472" t="s">
        <v>207</v>
      </c>
      <c r="B185" s="443"/>
      <c r="C185" s="472"/>
      <c r="D185" s="500">
        <v>50040</v>
      </c>
      <c r="E185" s="472"/>
      <c r="F185" s="472"/>
      <c r="G185" s="472"/>
      <c r="H185" s="496" t="s">
        <v>259</v>
      </c>
    </row>
    <row r="186" spans="1:8" ht="12.75">
      <c r="A186" s="495" t="s">
        <v>313</v>
      </c>
      <c r="B186" s="443"/>
      <c r="C186" s="472"/>
      <c r="D186" s="500">
        <v>16680</v>
      </c>
      <c r="E186" s="472"/>
      <c r="F186" s="472"/>
      <c r="G186" s="472"/>
      <c r="H186" s="496" t="s">
        <v>259</v>
      </c>
    </row>
    <row r="187" spans="1:8" ht="12.75">
      <c r="A187" s="492" t="s">
        <v>505</v>
      </c>
      <c r="B187" s="443"/>
      <c r="C187" s="443">
        <f>C188+C189</f>
        <v>11300</v>
      </c>
      <c r="D187" s="500">
        <f>D188+D189</f>
        <v>116708</v>
      </c>
      <c r="E187" s="443">
        <f>E188+E189</f>
        <v>0</v>
      </c>
      <c r="F187" s="443">
        <f>F188+F189</f>
        <v>0</v>
      </c>
      <c r="G187" s="443">
        <f>G188+G189</f>
        <v>0</v>
      </c>
      <c r="H187" s="496" t="s">
        <v>273</v>
      </c>
    </row>
    <row r="188" spans="1:8" ht="12.75">
      <c r="A188" s="495" t="s">
        <v>207</v>
      </c>
      <c r="B188" s="443"/>
      <c r="C188" s="472"/>
      <c r="D188" s="500">
        <v>50031</v>
      </c>
      <c r="E188" s="472"/>
      <c r="F188" s="472"/>
      <c r="G188" s="472"/>
      <c r="H188" s="486" t="s">
        <v>273</v>
      </c>
    </row>
    <row r="189" spans="1:9" ht="12.75">
      <c r="A189" s="495" t="s">
        <v>313</v>
      </c>
      <c r="B189" s="443"/>
      <c r="C189" s="472">
        <v>11300</v>
      </c>
      <c r="D189" s="500">
        <v>66677</v>
      </c>
      <c r="E189" s="472"/>
      <c r="F189" s="472"/>
      <c r="G189" s="472"/>
      <c r="H189" s="486" t="s">
        <v>273</v>
      </c>
      <c r="I189" s="349" t="s">
        <v>515</v>
      </c>
    </row>
    <row r="190" spans="1:8" ht="12.75">
      <c r="A190" s="492" t="s">
        <v>508</v>
      </c>
      <c r="B190" s="443"/>
      <c r="C190" s="502"/>
      <c r="D190" s="502"/>
      <c r="E190" s="502">
        <f>E191+E192</f>
        <v>200000</v>
      </c>
      <c r="F190" s="502">
        <f>F191+F192</f>
        <v>200000</v>
      </c>
      <c r="G190" s="502">
        <f>G191+G192</f>
        <v>200000</v>
      </c>
      <c r="H190" s="494" t="s">
        <v>226</v>
      </c>
    </row>
    <row r="191" spans="1:8" ht="12.75">
      <c r="A191" s="495" t="s">
        <v>207</v>
      </c>
      <c r="B191" s="443"/>
      <c r="C191" s="472"/>
      <c r="D191" s="472"/>
      <c r="E191" s="472"/>
      <c r="F191" s="472"/>
      <c r="G191" s="472"/>
      <c r="H191" s="486"/>
    </row>
    <row r="192" spans="1:8" ht="12.75">
      <c r="A192" s="495" t="s">
        <v>313</v>
      </c>
      <c r="B192" s="443"/>
      <c r="C192" s="472"/>
      <c r="D192" s="472"/>
      <c r="E192" s="472">
        <v>200000</v>
      </c>
      <c r="F192" s="472">
        <v>200000</v>
      </c>
      <c r="G192" s="472">
        <v>200000</v>
      </c>
      <c r="H192" s="486"/>
    </row>
    <row r="193" spans="1:8" ht="12.75">
      <c r="A193" s="492" t="s">
        <v>516</v>
      </c>
      <c r="B193" s="443"/>
      <c r="C193" s="443"/>
      <c r="D193" s="443">
        <f>D194+D195</f>
        <v>20000</v>
      </c>
      <c r="E193" s="443"/>
      <c r="F193" s="443"/>
      <c r="G193" s="443"/>
      <c r="H193" s="486"/>
    </row>
    <row r="194" spans="1:8" ht="12.75">
      <c r="A194" s="495" t="s">
        <v>207</v>
      </c>
      <c r="B194" s="443"/>
      <c r="C194" s="472"/>
      <c r="D194" s="472"/>
      <c r="E194" s="472"/>
      <c r="F194" s="472"/>
      <c r="G194" s="472"/>
      <c r="H194" s="486"/>
    </row>
    <row r="195" spans="1:8" ht="12.75">
      <c r="A195" s="495" t="s">
        <v>313</v>
      </c>
      <c r="B195" s="443"/>
      <c r="C195" s="472"/>
      <c r="D195" s="472">
        <v>20000</v>
      </c>
      <c r="E195" s="472"/>
      <c r="F195" s="472"/>
      <c r="G195" s="472"/>
      <c r="H195" s="486"/>
    </row>
    <row r="196" spans="1:7" ht="12.75">
      <c r="A196" s="492" t="s">
        <v>175</v>
      </c>
      <c r="B196" s="443"/>
      <c r="C196" s="493">
        <f>C94+C97+C100+C103+C106+C109+C112+C115+C118+C121+C124+C127+C130+C133+C136+C139+C142+C145+C148+C151+C154+C157+C160+C163+C166+C169+C172+C175+C178+C181+C187</f>
        <v>2646179</v>
      </c>
      <c r="D196" s="493">
        <f>D94+D97+D100+D103+D106+D109+D112+D115+D118+D121+D124+D127+D130+D133+D136+D139+D142+D145+D148+D151+D154+D157+D160+D163+D166+D169+D172+D175+D178+D181+D187+D184+D193</f>
        <v>2557043</v>
      </c>
      <c r="E196" s="493">
        <f>E94+E97+E100+E103+E106+E109+E112+E115+E118+E121+E124+E127+E130+E133+E136+E139+E142+E145+E148+E151+E154+E157+E160+E163+E166+E169+E172+E175+E178+E181+E187+E190</f>
        <v>423269</v>
      </c>
      <c r="F196" s="493">
        <f>F94+F97+F100+F103+F106+F109+F112+F115+F118+F121+F124+F127+F130+F133+F136+F139+F142+F145+F148+F151+F154+F157+F160+F163+F166+F169+F172+F175+F178+F181+F187+F190</f>
        <v>200000</v>
      </c>
      <c r="G196" s="493">
        <f>G94+G97+G100+G103+G106+G109+G112+G115+G118+G121+G124+G127+G130+G133+G136+G139+G142+G145+G148+G151+G154+G157+G160+G163+G166+G169+G172+G175+G178+G181+G187+G190</f>
        <v>200000</v>
      </c>
    </row>
    <row r="197" spans="1:7" ht="12.75">
      <c r="A197" s="472" t="s">
        <v>207</v>
      </c>
      <c r="B197" s="443"/>
      <c r="C197" s="460">
        <f>C95+C98+C101+C104+C107+C110+C113+C116+C119+C122+C125+C128+C131+C134+C137+C140+C143+C146+C149+C152+C155+C158+C161+C164+C167+C170+C173+C176+C179+C182+C188</f>
        <v>709602</v>
      </c>
      <c r="D197" s="460">
        <f>D95+D98+D101+D104+D107+D110+D113+D116+D119+D122+D125+D128+D131+D134+D137+D140+D143+D146+D149+D152+D155+D158+D161+D164+D167+D170+D173+D176+D179+D182+D188+D185+D194</f>
        <v>1074871</v>
      </c>
      <c r="E197" s="460">
        <f>E95+E98+E101+E104+E107+E110+E113+E116+E119+E122+E125+E128+E131+E134+E137+E140+E143+E146+E149+E152+E155+E158+E161+E164+E167+E170+E173+E176+E179+E182+E188</f>
        <v>125000</v>
      </c>
      <c r="F197" s="460">
        <f>F95+F98+F101+F104+F107+F110+F113+F116+F119+F122+F125+F128+F131+F134+F137+F140+F143+F146+F149+F152+F155+F158+F161+F164+F167+F170+F173+F176+F179+F182+F188</f>
        <v>0</v>
      </c>
      <c r="G197" s="460">
        <f>G95+G98+G101+G104+G107+G110+G113+G116+G119+G122+G125+G128+G131+G134+G137+G140+G143+G146+G149+G152+G155+G158+G161+G164+G167+G170+G173+G176+G179+G182+G188</f>
        <v>0</v>
      </c>
    </row>
    <row r="198" spans="1:8" ht="12.75">
      <c r="A198" s="472" t="s">
        <v>313</v>
      </c>
      <c r="B198" s="443"/>
      <c r="C198" s="460">
        <f>C96+C99+C102+C105+C108+C111+C114+C117+C120+C123+C126+C129+C132+C135+C138+C141+C144+C147+C150+C153+C156+C159+C162+C165+C168+C171+C174+C177+C180+C183+C189</f>
        <v>1936577</v>
      </c>
      <c r="D198" s="460">
        <f>D195+D96+D99+D102+D105+D108+D111+D114+D117+D120+D123+D126+D129+D132+D135+D138+D141+D144+D147+D150+D153+D156+D159+D162+D165+D168+D171+D174+D177+D180+D183+D189+D186</f>
        <v>1482172</v>
      </c>
      <c r="E198" s="460">
        <f>E96+E99+E102+E105+E108+E111+E114+E117+E120+E123+E126+E129+E132+E135+E138+E141+E144+E147+E150+E153+E156+E159+E162+E165+E168+E171+E174+E177+E180+E183+E189+E192</f>
        <v>298269</v>
      </c>
      <c r="F198" s="460">
        <f>F96+F99+F102+F105+F108+F111+F114+F117+F120+F123+F126+F129+F132+F135+F138+F141+F144+F147+F150+F153+F156+F159+F162+F165+F168+F171+F174+F177+F180+F183+F189+F192</f>
        <v>200000</v>
      </c>
      <c r="G198" s="460">
        <f>G96+G99+G102+G105+G108+G111+G114+G117+G120+G123+G126+G129+G132+G135+G138+G141+G144+G147+G150+G153+G156+G159+G162+G165+G168+G171+G174+G177+G180+G183+G189+G192</f>
        <v>200000</v>
      </c>
      <c r="H198" s="349"/>
    </row>
    <row r="200" spans="3:7" ht="12.75">
      <c r="C200" s="461">
        <f>C88-C196</f>
        <v>0</v>
      </c>
      <c r="D200" s="461">
        <f>D88-D196</f>
        <v>0</v>
      </c>
      <c r="E200" s="461">
        <f>E88-E196</f>
        <v>0</v>
      </c>
      <c r="F200" s="461">
        <f>F88-F196</f>
        <v>0</v>
      </c>
      <c r="G200" s="461">
        <f>G88-G196</f>
        <v>0</v>
      </c>
    </row>
  </sheetData>
  <sheetProtection/>
  <autoFilter ref="A93:V198"/>
  <mergeCells count="1">
    <mergeCell ref="I57:N57"/>
  </mergeCells>
  <conditionalFormatting sqref="C20 B49:H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346</v>
      </c>
      <c r="B1" s="336" t="s">
        <v>427</v>
      </c>
      <c r="C1" s="336" t="s">
        <v>428</v>
      </c>
      <c r="D1" s="336" t="s">
        <v>384</v>
      </c>
      <c r="E1" s="336" t="s">
        <v>412</v>
      </c>
      <c r="F1" s="336" t="s">
        <v>423</v>
      </c>
      <c r="G1" s="336" t="s">
        <v>429</v>
      </c>
      <c r="H1" s="123" t="s">
        <v>296</v>
      </c>
      <c r="I1" s="339" t="s">
        <v>426</v>
      </c>
      <c r="J1" s="339" t="s">
        <v>430</v>
      </c>
      <c r="K1" s="399" t="s">
        <v>370</v>
      </c>
      <c r="L1" s="399" t="s">
        <v>370</v>
      </c>
    </row>
    <row r="2" spans="1:12" ht="12.75">
      <c r="A2" s="63" t="s">
        <v>189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0</v>
      </c>
      <c r="J2" s="7">
        <f>Eelarvearuanne!D56</f>
        <v>0</v>
      </c>
      <c r="K2" s="125">
        <f>B2-I2</f>
        <v>0</v>
      </c>
      <c r="L2" s="125">
        <f>C2-J2</f>
        <v>0</v>
      </c>
    </row>
    <row r="3" spans="1:7" ht="12.75">
      <c r="A3" s="61" t="s">
        <v>176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181</v>
      </c>
      <c r="B4" s="48"/>
      <c r="C4" s="48"/>
      <c r="D4" s="48"/>
      <c r="E4" s="48"/>
      <c r="F4" s="48"/>
      <c r="G4" s="62"/>
      <c r="H4" s="1" t="s">
        <v>359</v>
      </c>
      <c r="I4" s="340"/>
      <c r="J4" s="340"/>
    </row>
    <row r="5" spans="1:12" ht="12.75">
      <c r="A5" s="61" t="s">
        <v>182</v>
      </c>
      <c r="B5" s="48"/>
      <c r="C5" s="48"/>
      <c r="D5" s="48"/>
      <c r="E5" s="48"/>
      <c r="F5" s="48"/>
      <c r="G5" s="62"/>
      <c r="H5" t="s">
        <v>304</v>
      </c>
      <c r="L5" s="398"/>
    </row>
    <row r="6" spans="1:7" ht="12.75">
      <c r="A6" s="61" t="s">
        <v>177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181</v>
      </c>
      <c r="B7" s="48"/>
      <c r="C7" s="48"/>
      <c r="D7" s="48"/>
      <c r="E7" s="48"/>
      <c r="F7" s="48"/>
      <c r="G7" s="62"/>
    </row>
    <row r="8" spans="1:10" ht="12.75">
      <c r="A8" s="61" t="s">
        <v>182</v>
      </c>
      <c r="B8" s="48"/>
      <c r="C8" s="48"/>
      <c r="D8" s="48"/>
      <c r="E8" s="48"/>
      <c r="F8" s="48"/>
      <c r="G8" s="62"/>
      <c r="H8" s="127" t="s">
        <v>385</v>
      </c>
      <c r="I8" s="341"/>
      <c r="J8" s="341"/>
    </row>
    <row r="9" spans="1:12" ht="12.75">
      <c r="A9" s="63" t="s">
        <v>190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176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181</v>
      </c>
      <c r="B11" s="48"/>
      <c r="C11" s="48"/>
      <c r="D11" s="48"/>
      <c r="E11" s="48"/>
      <c r="F11" s="48"/>
      <c r="G11" s="62"/>
    </row>
    <row r="12" spans="1:7" ht="12.75">
      <c r="A12" s="61" t="s">
        <v>182</v>
      </c>
      <c r="B12" s="48"/>
      <c r="C12" s="48"/>
      <c r="D12" s="48"/>
      <c r="E12" s="48"/>
      <c r="F12" s="48"/>
      <c r="G12" s="62"/>
    </row>
    <row r="13" spans="1:7" ht="12.75">
      <c r="A13" s="61" t="s">
        <v>177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181</v>
      </c>
      <c r="B14" s="48"/>
      <c r="C14" s="48"/>
      <c r="D14" s="48"/>
      <c r="E14" s="48"/>
      <c r="F14" s="48"/>
      <c r="G14" s="62"/>
    </row>
    <row r="15" spans="1:7" ht="12.75">
      <c r="A15" s="61" t="s">
        <v>182</v>
      </c>
      <c r="B15" s="48"/>
      <c r="C15" s="48"/>
      <c r="D15" s="48"/>
      <c r="E15" s="48"/>
      <c r="F15" s="48"/>
      <c r="G15" s="62"/>
    </row>
    <row r="16" spans="1:12" ht="12.75">
      <c r="A16" s="63" t="s">
        <v>191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0</v>
      </c>
      <c r="J16" s="125">
        <f>Eelarvearuanne!D64</f>
        <v>0</v>
      </c>
      <c r="K16" s="125">
        <f>B16-I16</f>
        <v>0</v>
      </c>
      <c r="L16" s="125">
        <f>C16-J16</f>
        <v>0</v>
      </c>
    </row>
    <row r="17" spans="1:7" ht="12.75">
      <c r="A17" s="61" t="s">
        <v>176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181</v>
      </c>
      <c r="B18" s="48"/>
      <c r="C18" s="48"/>
      <c r="D18" s="48"/>
      <c r="E18" s="48"/>
      <c r="F18" s="48"/>
      <c r="G18" s="62"/>
    </row>
    <row r="19" spans="1:7" ht="12.75">
      <c r="A19" s="61" t="s">
        <v>182</v>
      </c>
      <c r="B19" s="48"/>
      <c r="C19" s="48"/>
      <c r="D19" s="48"/>
      <c r="E19" s="48"/>
      <c r="F19" s="48"/>
      <c r="G19" s="62"/>
    </row>
    <row r="20" spans="1:7" ht="12.75">
      <c r="A20" s="61" t="s">
        <v>177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181</v>
      </c>
      <c r="B21" s="48"/>
      <c r="C21" s="48"/>
      <c r="D21" s="48"/>
      <c r="E21" s="48"/>
      <c r="F21" s="48"/>
      <c r="G21" s="62"/>
    </row>
    <row r="22" spans="1:7" ht="12.75">
      <c r="A22" s="61" t="s">
        <v>182</v>
      </c>
      <c r="B22" s="48"/>
      <c r="C22" s="48"/>
      <c r="D22" s="48"/>
      <c r="E22" s="48"/>
      <c r="F22" s="48"/>
      <c r="G22" s="62"/>
    </row>
    <row r="23" spans="1:12" ht="12.75">
      <c r="A23" s="63" t="s">
        <v>192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0</v>
      </c>
      <c r="J23" s="125">
        <f>Eelarvearuanne!D68</f>
        <v>0</v>
      </c>
      <c r="K23" s="125">
        <f>B23-I23</f>
        <v>0</v>
      </c>
      <c r="L23" s="125">
        <f>C23-J23</f>
        <v>0</v>
      </c>
    </row>
    <row r="24" spans="1:7" ht="12.75">
      <c r="A24" s="61" t="s">
        <v>176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181</v>
      </c>
      <c r="B25" s="48"/>
      <c r="C25" s="48"/>
      <c r="D25" s="48"/>
      <c r="E25" s="48"/>
      <c r="F25" s="48"/>
      <c r="G25" s="62"/>
    </row>
    <row r="26" spans="1:7" ht="12.75">
      <c r="A26" s="61" t="s">
        <v>182</v>
      </c>
      <c r="B26" s="48"/>
      <c r="C26" s="48"/>
      <c r="D26" s="48"/>
      <c r="E26" s="48"/>
      <c r="F26" s="48"/>
      <c r="G26" s="62"/>
    </row>
    <row r="27" spans="1:7" ht="12.75">
      <c r="A27" s="61" t="s">
        <v>177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181</v>
      </c>
      <c r="B28" s="48"/>
      <c r="C28" s="48"/>
      <c r="D28" s="48"/>
      <c r="E28" s="48"/>
      <c r="F28" s="48"/>
      <c r="G28" s="62"/>
    </row>
    <row r="29" spans="1:7" ht="12.75">
      <c r="A29" s="61" t="s">
        <v>182</v>
      </c>
      <c r="B29" s="48"/>
      <c r="C29" s="48"/>
      <c r="D29" s="48"/>
      <c r="E29" s="48"/>
      <c r="F29" s="48"/>
      <c r="G29" s="62"/>
    </row>
    <row r="30" spans="1:12" ht="12.75">
      <c r="A30" s="63" t="s">
        <v>193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0</v>
      </c>
      <c r="J30" s="125">
        <f>Eelarvearuanne!D85</f>
        <v>0</v>
      </c>
      <c r="K30" s="125">
        <f>B30-I30</f>
        <v>0</v>
      </c>
      <c r="L30" s="125">
        <f>C30-J30</f>
        <v>0</v>
      </c>
    </row>
    <row r="31" spans="1:7" ht="12.75">
      <c r="A31" s="61" t="s">
        <v>176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181</v>
      </c>
      <c r="B32" s="48"/>
      <c r="C32" s="48"/>
      <c r="D32" s="48"/>
      <c r="E32" s="48"/>
      <c r="F32" s="48"/>
      <c r="G32" s="62"/>
    </row>
    <row r="33" spans="1:7" ht="12.75">
      <c r="A33" s="61" t="s">
        <v>182</v>
      </c>
      <c r="B33" s="48"/>
      <c r="C33" s="48"/>
      <c r="D33" s="48"/>
      <c r="E33" s="48"/>
      <c r="F33" s="48"/>
      <c r="G33" s="62"/>
    </row>
    <row r="34" spans="1:7" ht="12.75">
      <c r="A34" s="61" t="s">
        <v>177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181</v>
      </c>
      <c r="B35" s="48"/>
      <c r="C35" s="48"/>
      <c r="D35" s="48"/>
      <c r="E35" s="48"/>
      <c r="F35" s="48"/>
      <c r="G35" s="62"/>
    </row>
    <row r="36" spans="1:7" ht="12.75">
      <c r="A36" s="61" t="s">
        <v>182</v>
      </c>
      <c r="B36" s="48"/>
      <c r="C36" s="48"/>
      <c r="D36" s="48"/>
      <c r="E36" s="48"/>
      <c r="F36" s="48"/>
      <c r="G36" s="62"/>
    </row>
    <row r="37" spans="1:12" ht="12.75">
      <c r="A37" s="63" t="s">
        <v>194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0</v>
      </c>
      <c r="J37" s="7">
        <f>Eelarvearuanne!D92</f>
        <v>0</v>
      </c>
      <c r="K37" s="125">
        <f>B37-I37</f>
        <v>0</v>
      </c>
      <c r="L37" s="125">
        <f>C37-J37</f>
        <v>0</v>
      </c>
    </row>
    <row r="38" spans="1:7" ht="12.75">
      <c r="A38" s="61" t="s">
        <v>176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181</v>
      </c>
      <c r="B39" s="48"/>
      <c r="C39" s="48"/>
      <c r="D39" s="48"/>
      <c r="E39" s="48"/>
      <c r="F39" s="48"/>
      <c r="G39" s="62"/>
    </row>
    <row r="40" spans="1:7" ht="12.75">
      <c r="A40" s="61" t="s">
        <v>182</v>
      </c>
      <c r="B40" s="48"/>
      <c r="C40" s="48"/>
      <c r="D40" s="48"/>
      <c r="E40" s="48"/>
      <c r="F40" s="48"/>
      <c r="G40" s="62"/>
    </row>
    <row r="41" spans="1:7" ht="12.75">
      <c r="A41" s="61" t="s">
        <v>177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181</v>
      </c>
      <c r="B42" s="48"/>
      <c r="C42" s="48"/>
      <c r="D42" s="48"/>
      <c r="E42" s="48"/>
      <c r="F42" s="48"/>
      <c r="G42" s="62"/>
    </row>
    <row r="43" spans="1:7" ht="12.75">
      <c r="A43" s="61" t="s">
        <v>182</v>
      </c>
      <c r="B43" s="48"/>
      <c r="C43" s="48"/>
      <c r="D43" s="48"/>
      <c r="E43" s="48"/>
      <c r="F43" s="48"/>
      <c r="G43" s="62"/>
    </row>
    <row r="44" spans="1:12" ht="12.75">
      <c r="A44" s="63" t="s">
        <v>195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0</v>
      </c>
      <c r="J44" s="125">
        <f>Eelarvearuanne!D99</f>
        <v>0</v>
      </c>
      <c r="K44" s="125">
        <f>B44-I44</f>
        <v>0</v>
      </c>
      <c r="L44" s="125">
        <f>C44-J44</f>
        <v>0</v>
      </c>
    </row>
    <row r="45" spans="1:7" ht="12.75">
      <c r="A45" s="61" t="s">
        <v>176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181</v>
      </c>
      <c r="B46" s="48"/>
      <c r="C46" s="48"/>
      <c r="D46" s="48"/>
      <c r="E46" s="48"/>
      <c r="F46" s="48"/>
      <c r="G46" s="62"/>
    </row>
    <row r="47" spans="1:7" ht="12.75">
      <c r="A47" s="61" t="s">
        <v>182</v>
      </c>
      <c r="B47" s="48"/>
      <c r="C47" s="48"/>
      <c r="D47" s="48"/>
      <c r="E47" s="48"/>
      <c r="F47" s="48"/>
      <c r="G47" s="62"/>
    </row>
    <row r="48" spans="1:7" ht="12.75">
      <c r="A48" s="61" t="s">
        <v>177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181</v>
      </c>
      <c r="B49" s="48"/>
      <c r="C49" s="48"/>
      <c r="D49" s="48"/>
      <c r="E49" s="48"/>
      <c r="F49" s="48"/>
      <c r="G49" s="62"/>
    </row>
    <row r="50" spans="1:7" ht="12.75">
      <c r="A50" s="61" t="s">
        <v>182</v>
      </c>
      <c r="B50" s="48"/>
      <c r="C50" s="48"/>
      <c r="D50" s="48"/>
      <c r="E50" s="48"/>
      <c r="F50" s="48"/>
      <c r="G50" s="62"/>
    </row>
    <row r="51" spans="1:12" ht="12.75">
      <c r="A51" s="63" t="s">
        <v>196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0</v>
      </c>
      <c r="J51" s="125">
        <f>Eelarvearuanne!D106</f>
        <v>0</v>
      </c>
      <c r="K51" s="125">
        <f>B51-I51</f>
        <v>0</v>
      </c>
      <c r="L51" s="125">
        <f>C51-J51</f>
        <v>0</v>
      </c>
    </row>
    <row r="52" spans="1:7" ht="12.75">
      <c r="A52" s="61" t="s">
        <v>176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181</v>
      </c>
      <c r="B53" s="48"/>
      <c r="C53" s="48"/>
      <c r="D53" s="48"/>
      <c r="E53" s="48"/>
      <c r="F53" s="48"/>
      <c r="G53" s="62"/>
    </row>
    <row r="54" spans="1:7" ht="12.75">
      <c r="A54" s="61" t="s">
        <v>182</v>
      </c>
      <c r="B54" s="48"/>
      <c r="C54" s="48"/>
      <c r="D54" s="48"/>
      <c r="E54" s="48"/>
      <c r="F54" s="48"/>
      <c r="G54" s="62"/>
    </row>
    <row r="55" spans="1:7" ht="12.75">
      <c r="A55" s="61" t="s">
        <v>177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181</v>
      </c>
      <c r="B56" s="48"/>
      <c r="C56" s="48"/>
      <c r="D56" s="48"/>
      <c r="E56" s="48"/>
      <c r="F56" s="48"/>
      <c r="G56" s="62"/>
    </row>
    <row r="57" spans="1:7" ht="12.75">
      <c r="A57" s="61" t="s">
        <v>182</v>
      </c>
      <c r="B57" s="48"/>
      <c r="C57" s="48"/>
      <c r="D57" s="48"/>
      <c r="E57" s="48"/>
      <c r="F57" s="48"/>
      <c r="G57" s="62"/>
    </row>
    <row r="58" spans="1:12" ht="12.75">
      <c r="A58" s="63" t="s">
        <v>197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0</v>
      </c>
      <c r="J58" s="125">
        <f>Eelarvearuanne!D124</f>
        <v>0</v>
      </c>
      <c r="K58" s="125">
        <f>B58-I58</f>
        <v>0</v>
      </c>
      <c r="L58" s="125">
        <f>C58-J58</f>
        <v>0</v>
      </c>
    </row>
    <row r="59" spans="1:7" ht="12.75">
      <c r="A59" s="61" t="s">
        <v>176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181</v>
      </c>
      <c r="B60" s="48"/>
      <c r="C60" s="48"/>
      <c r="D60" s="48"/>
      <c r="E60" s="48"/>
      <c r="F60" s="48"/>
      <c r="G60" s="62"/>
      <c r="H60" s="6" t="s">
        <v>358</v>
      </c>
      <c r="I60" s="342"/>
      <c r="J60" s="342"/>
    </row>
    <row r="61" spans="1:7" ht="12.75">
      <c r="A61" s="61" t="s">
        <v>182</v>
      </c>
      <c r="B61" s="48"/>
      <c r="C61" s="48"/>
      <c r="D61" s="48"/>
      <c r="E61" s="48"/>
      <c r="F61" s="48"/>
      <c r="G61" s="62"/>
    </row>
    <row r="62" spans="1:7" ht="12.75">
      <c r="A62" s="61" t="s">
        <v>177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181</v>
      </c>
      <c r="B63" s="48"/>
      <c r="C63" s="48"/>
      <c r="D63" s="48"/>
      <c r="E63" s="48"/>
      <c r="F63" s="48"/>
      <c r="G63" s="62"/>
      <c r="H63" s="6" t="s">
        <v>362</v>
      </c>
      <c r="I63" s="342"/>
      <c r="J63" s="342"/>
    </row>
    <row r="64" spans="1:7" ht="12.75">
      <c r="A64" s="61" t="s">
        <v>182</v>
      </c>
      <c r="B64" s="48"/>
      <c r="C64" s="48"/>
      <c r="D64" s="48"/>
      <c r="E64" s="48"/>
      <c r="F64" s="48"/>
      <c r="G64" s="62"/>
    </row>
    <row r="65" spans="1:12" ht="12.75">
      <c r="A65" s="63" t="s">
        <v>198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0</v>
      </c>
      <c r="J65" s="125">
        <f>Eelarvearuanne!D137</f>
        <v>0</v>
      </c>
      <c r="K65" s="125">
        <f>B65-I65</f>
        <v>0</v>
      </c>
      <c r="L65" s="125">
        <f>C65-J65</f>
        <v>0</v>
      </c>
    </row>
    <row r="66" spans="1:7" ht="12.75">
      <c r="A66" s="61" t="s">
        <v>176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181</v>
      </c>
      <c r="B67" s="48"/>
      <c r="C67" s="48"/>
      <c r="D67" s="48"/>
      <c r="E67" s="48"/>
      <c r="F67" s="48"/>
      <c r="G67" s="62"/>
      <c r="H67" s="6" t="s">
        <v>357</v>
      </c>
      <c r="I67" s="342"/>
      <c r="J67" s="342"/>
    </row>
    <row r="68" spans="1:7" ht="12.75">
      <c r="A68" s="61" t="s">
        <v>182</v>
      </c>
      <c r="B68" s="48"/>
      <c r="C68" s="48"/>
      <c r="D68" s="48"/>
      <c r="E68" s="48"/>
      <c r="F68" s="48"/>
      <c r="G68" s="62"/>
    </row>
    <row r="69" spans="1:7" ht="12.75">
      <c r="A69" s="61" t="s">
        <v>177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181</v>
      </c>
      <c r="B70" s="48"/>
      <c r="C70" s="48"/>
      <c r="D70" s="48"/>
      <c r="E70" s="48"/>
      <c r="F70" s="48"/>
      <c r="G70" s="62"/>
    </row>
    <row r="71" spans="1:7" ht="12.75">
      <c r="A71" s="61" t="s">
        <v>182</v>
      </c>
      <c r="B71" s="48"/>
      <c r="C71" s="48"/>
      <c r="D71" s="48"/>
      <c r="E71" s="48"/>
      <c r="F71" s="48"/>
      <c r="G71" s="62"/>
    </row>
    <row r="72" spans="1:16" ht="12.75">
      <c r="A72" s="63" t="s">
        <v>175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0</v>
      </c>
      <c r="J72" s="7">
        <f>Eelarvearuanne!D55</f>
        <v>0</v>
      </c>
      <c r="K72" s="125">
        <f>B72-I72</f>
        <v>0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13748868</v>
      </c>
      <c r="N72" s="7">
        <f>'Strateegia vorm KOV'!E13-'Strateegia vorm KOV'!E23-'Strateegia vorm KOV'!E32-'Strateegia vorm KOV'!E30-'Strateegia vorm KOV'!E28-'Strateegia vorm KOV'!E26</f>
        <v>11774258.73</v>
      </c>
      <c r="O72" s="7">
        <f>'Strateegia vorm KOV'!F13-'Strateegia vorm KOV'!F23-'Strateegia vorm KOV'!F32-'Strateegia vorm KOV'!F30-'Strateegia vorm KOV'!F28-'Strateegia vorm KOV'!F26</f>
        <v>11775856.7155</v>
      </c>
      <c r="P72" s="7">
        <f>'Strateegia vorm KOV'!G13-'Strateegia vorm KOV'!G23-'Strateegia vorm KOV'!G32-'Strateegia vorm KOV'!G30-'Strateegia vorm KOV'!G28-'Strateegia vorm KOV'!G26</f>
        <v>12049629.623837002</v>
      </c>
    </row>
    <row r="73" spans="1:16" ht="12.75">
      <c r="A73" s="61" t="s">
        <v>176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13748868</v>
      </c>
      <c r="N73" s="125">
        <f>N72-E72</f>
        <v>11774258.73</v>
      </c>
      <c r="O73" s="125">
        <f>O72-F72</f>
        <v>11775856.7155</v>
      </c>
      <c r="P73" s="125">
        <f>P72-G72</f>
        <v>12049629.623837002</v>
      </c>
    </row>
    <row r="74" spans="1:7" ht="12.75">
      <c r="A74" s="61" t="s">
        <v>181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182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177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181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182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186</v>
      </c>
      <c r="B79" s="66">
        <f>B73-'Strateegia vorm KOV'!B13</f>
        <v>-10503671.79</v>
      </c>
      <c r="C79" s="66">
        <f>C73-'Strateegia vorm KOV'!C13</f>
        <v>-10880989</v>
      </c>
      <c r="D79" s="66">
        <f>D73-'Strateegia vorm KOV'!D13</f>
        <v>-10960385</v>
      </c>
      <c r="E79" s="66">
        <f>E73-'Strateegia vorm KOV'!E13</f>
        <v>-11187210.73</v>
      </c>
      <c r="F79" s="66">
        <f>F73-'Strateegia vorm KOV'!F13</f>
        <v>-11434071.7155</v>
      </c>
      <c r="G79" s="66">
        <f>G73-'Strateegia vorm KOV'!G13</f>
        <v>-11722393.623837002</v>
      </c>
      <c r="H79" s="335" t="s">
        <v>303</v>
      </c>
      <c r="I79"/>
      <c r="J79"/>
    </row>
    <row r="80" spans="1:10" ht="12.75">
      <c r="A80" s="67" t="s">
        <v>187</v>
      </c>
      <c r="B80" s="66">
        <f>B76+'Strateegia vorm KOV'!B23+'Strateegia vorm KOV'!B26+'Strateegia vorm KOV'!B28+'Strateegia vorm KOV'!B30+'Strateegia vorm KOV'!B32</f>
        <v>-1455995.68</v>
      </c>
      <c r="C80" s="66">
        <f>C76+('Strateegia vorm KOV'!C23+'Strateegia vorm KOV'!C26+'Strateegia vorm KOV'!C28+'Strateegia vorm KOV'!C30+'Strateegia vorm KOV'!C32)</f>
        <v>-3150293</v>
      </c>
      <c r="D80" s="66">
        <f>D76+('Strateegia vorm KOV'!D23+'Strateegia vorm KOV'!D26+'Strateegia vorm KOV'!D28+'Strateegia vorm KOV'!D30+'Strateegia vorm KOV'!D32)</f>
        <v>-2788483</v>
      </c>
      <c r="E80" s="66">
        <f>E76+('Strateegia vorm KOV'!E23+'Strateegia vorm KOV'!E26+'Strateegia vorm KOV'!E28+'Strateegia vorm KOV'!E30+'Strateegia vorm KOV'!E32)</f>
        <v>-587048</v>
      </c>
      <c r="F80" s="66">
        <f>F76+('Strateegia vorm KOV'!F23+'Strateegia vorm KOV'!F26+'Strateegia vorm KOV'!F28+'Strateegia vorm KOV'!F30+'Strateegia vorm KOV'!F32)</f>
        <v>-341785</v>
      </c>
      <c r="G80" s="66">
        <f>G76+('Strateegia vorm KOV'!G23+'Strateegia vorm KOV'!G26+'Strateegia vorm KOV'!G28+'Strateegia vorm KOV'!G30+'Strateegia vorm KOV'!G32)</f>
        <v>-327236</v>
      </c>
      <c r="H80" s="335" t="s">
        <v>303</v>
      </c>
      <c r="I80"/>
      <c r="J80"/>
    </row>
    <row r="81" ht="12.75">
      <c r="A81" s="6" t="s">
        <v>188</v>
      </c>
    </row>
    <row r="83" ht="13.5" thickBot="1">
      <c r="A83" s="1" t="s">
        <v>185</v>
      </c>
    </row>
    <row r="84" spans="1:7" ht="40.5" customHeight="1" thickBot="1">
      <c r="A84" s="2" t="s">
        <v>184</v>
      </c>
      <c r="B84" s="336" t="s">
        <v>427</v>
      </c>
      <c r="C84" s="336" t="s">
        <v>428</v>
      </c>
      <c r="D84" s="336" t="s">
        <v>384</v>
      </c>
      <c r="E84" s="336" t="s">
        <v>412</v>
      </c>
      <c r="F84" s="336" t="s">
        <v>423</v>
      </c>
      <c r="G84" s="336" t="s">
        <v>429</v>
      </c>
    </row>
    <row r="85" spans="1:10" s="6" customFormat="1" ht="12.75">
      <c r="A85" s="63" t="s">
        <v>138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42"/>
      <c r="J85" s="342"/>
    </row>
    <row r="86" spans="1:10" s="6" customFormat="1" ht="12.75">
      <c r="A86" s="61" t="s">
        <v>176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42"/>
      <c r="J86" s="342"/>
    </row>
    <row r="87" spans="1:7" ht="12.75">
      <c r="A87" s="61" t="s">
        <v>177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131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176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177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130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176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177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126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176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177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111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176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177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105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176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177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98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176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177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91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176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177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79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176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177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74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176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177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175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176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177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511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  <c r="H1" s="5"/>
    </row>
    <row r="2" spans="1:7" ht="15" customHeight="1">
      <c r="A2" s="280" t="s">
        <v>318</v>
      </c>
      <c r="B2" s="281">
        <v>530749</v>
      </c>
      <c r="C2" s="281">
        <v>360000</v>
      </c>
      <c r="D2" s="281">
        <v>360000</v>
      </c>
      <c r="E2" s="281">
        <v>375000</v>
      </c>
      <c r="F2" s="281">
        <v>375000</v>
      </c>
      <c r="G2" s="282">
        <v>375000</v>
      </c>
    </row>
    <row r="3" spans="1:8" ht="12.75">
      <c r="A3" s="283" t="s">
        <v>319</v>
      </c>
      <c r="B3" s="281"/>
      <c r="C3" s="281"/>
      <c r="D3" s="281"/>
      <c r="E3" s="281"/>
      <c r="F3" s="281"/>
      <c r="G3" s="282"/>
      <c r="H3" s="337" t="s">
        <v>368</v>
      </c>
    </row>
    <row r="4" spans="1:9" ht="12.75">
      <c r="A4" s="326" t="s">
        <v>442</v>
      </c>
      <c r="B4" s="314"/>
      <c r="C4" s="314"/>
      <c r="D4" s="314"/>
      <c r="E4" s="314"/>
      <c r="F4" s="314"/>
      <c r="G4" s="315"/>
      <c r="H4" s="354" t="s">
        <v>353</v>
      </c>
      <c r="I4" s="6"/>
    </row>
    <row r="5" spans="1:9" ht="12.75">
      <c r="A5" s="283" t="s">
        <v>320</v>
      </c>
      <c r="B5" s="284"/>
      <c r="C5" s="285"/>
      <c r="D5" s="285"/>
      <c r="E5" s="285"/>
      <c r="F5" s="285"/>
      <c r="G5" s="286"/>
      <c r="H5" s="184" t="s">
        <v>321</v>
      </c>
      <c r="I5" s="6" t="s">
        <v>363</v>
      </c>
    </row>
    <row r="6" spans="1:7" ht="12.75">
      <c r="A6" s="287" t="s">
        <v>322</v>
      </c>
      <c r="B6" s="288">
        <v>582906</v>
      </c>
      <c r="C6" s="288">
        <v>318000</v>
      </c>
      <c r="D6" s="288">
        <v>304000</v>
      </c>
      <c r="E6" s="288">
        <v>304000</v>
      </c>
      <c r="F6" s="288">
        <v>316000</v>
      </c>
      <c r="G6" s="289">
        <v>322000</v>
      </c>
    </row>
    <row r="7" spans="1:9" ht="12.75">
      <c r="A7" s="290" t="s">
        <v>323</v>
      </c>
      <c r="B7" s="291"/>
      <c r="C7" s="176"/>
      <c r="D7" s="176"/>
      <c r="E7" s="176"/>
      <c r="F7" s="176"/>
      <c r="G7" s="177"/>
      <c r="H7" s="337" t="s">
        <v>368</v>
      </c>
      <c r="I7" s="6"/>
    </row>
    <row r="8" spans="1:10" ht="12.75">
      <c r="A8" s="292" t="s">
        <v>324</v>
      </c>
      <c r="B8" s="284"/>
      <c r="C8" s="178"/>
      <c r="D8" s="178"/>
      <c r="E8" s="178"/>
      <c r="F8" s="178"/>
      <c r="G8" s="179"/>
      <c r="H8" s="182" t="s">
        <v>330</v>
      </c>
      <c r="I8" s="6" t="s">
        <v>363</v>
      </c>
      <c r="J8" s="5"/>
    </row>
    <row r="9" spans="1:10" ht="12.75">
      <c r="A9" s="326" t="s">
        <v>352</v>
      </c>
      <c r="B9" s="316"/>
      <c r="C9" s="317"/>
      <c r="D9" s="317"/>
      <c r="E9" s="317"/>
      <c r="F9" s="317"/>
      <c r="G9" s="318"/>
      <c r="H9" s="5"/>
      <c r="J9" s="5"/>
    </row>
    <row r="10" spans="1:7" ht="12.75">
      <c r="A10" s="293" t="s">
        <v>9</v>
      </c>
      <c r="B10" s="30">
        <f aca="true" t="shared" si="0" ref="B10:G10">B2-B6</f>
        <v>-52157</v>
      </c>
      <c r="C10" s="30">
        <f t="shared" si="0"/>
        <v>42000</v>
      </c>
      <c r="D10" s="30">
        <f t="shared" si="0"/>
        <v>56000</v>
      </c>
      <c r="E10" s="30">
        <f t="shared" si="0"/>
        <v>71000</v>
      </c>
      <c r="F10" s="30">
        <f t="shared" si="0"/>
        <v>59000</v>
      </c>
      <c r="G10" s="44">
        <f t="shared" si="0"/>
        <v>53000</v>
      </c>
    </row>
    <row r="11" spans="1:9" ht="12.75">
      <c r="A11" s="15" t="s">
        <v>325</v>
      </c>
      <c r="B11" s="288">
        <v>-3517</v>
      </c>
      <c r="C11" s="288">
        <v>-239109</v>
      </c>
      <c r="D11" s="288">
        <v>-6108</v>
      </c>
      <c r="E11" s="288">
        <v>-4835</v>
      </c>
      <c r="F11" s="288">
        <v>-3658</v>
      </c>
      <c r="G11" s="289">
        <v>-2602</v>
      </c>
      <c r="H11" t="s">
        <v>339</v>
      </c>
      <c r="I11" s="180"/>
    </row>
    <row r="12" spans="1:7" ht="12.75">
      <c r="A12" s="15" t="s">
        <v>3</v>
      </c>
      <c r="B12" s="30">
        <f aca="true" t="shared" si="1" ref="B12:G12">B10+B11</f>
        <v>-55674</v>
      </c>
      <c r="C12" s="30">
        <f t="shared" si="1"/>
        <v>-197109</v>
      </c>
      <c r="D12" s="30">
        <f t="shared" si="1"/>
        <v>49892</v>
      </c>
      <c r="E12" s="30">
        <f t="shared" si="1"/>
        <v>66165</v>
      </c>
      <c r="F12" s="30">
        <f t="shared" si="1"/>
        <v>55342</v>
      </c>
      <c r="G12" s="44">
        <f t="shared" si="1"/>
        <v>50398</v>
      </c>
    </row>
    <row r="13" spans="1:8" ht="12.75">
      <c r="A13" s="15" t="s">
        <v>326</v>
      </c>
      <c r="B13" s="288"/>
      <c r="C13" s="288">
        <v>184808</v>
      </c>
      <c r="D13" s="288">
        <v>-68164</v>
      </c>
      <c r="E13" s="288">
        <v>-65911</v>
      </c>
      <c r="F13" s="288">
        <v>-54873</v>
      </c>
      <c r="G13" s="289">
        <v>-40002</v>
      </c>
      <c r="H13" t="s">
        <v>331</v>
      </c>
    </row>
    <row r="14" spans="1:7" ht="25.5">
      <c r="A14" s="16" t="s">
        <v>46</v>
      </c>
      <c r="B14" s="284">
        <v>18025</v>
      </c>
      <c r="C14" s="285">
        <f>C12+C13</f>
        <v>-12301</v>
      </c>
      <c r="D14" s="285">
        <f>D12+D13</f>
        <v>-18272</v>
      </c>
      <c r="E14" s="285">
        <f>E12+E13</f>
        <v>254</v>
      </c>
      <c r="F14" s="285">
        <f>F12+F13</f>
        <v>469</v>
      </c>
      <c r="G14" s="285">
        <f>G12+G13</f>
        <v>10396</v>
      </c>
    </row>
    <row r="15" spans="1:8" ht="12.75">
      <c r="A15" s="16" t="s">
        <v>459</v>
      </c>
      <c r="B15" s="284">
        <v>73699</v>
      </c>
      <c r="C15" s="285"/>
      <c r="D15" s="285"/>
      <c r="E15" s="285"/>
      <c r="F15" s="285"/>
      <c r="G15" s="286"/>
      <c r="H15" s="329" t="s">
        <v>356</v>
      </c>
    </row>
    <row r="16" spans="1:7" ht="12.75">
      <c r="A16" s="294"/>
      <c r="B16" s="295"/>
      <c r="C16" s="295"/>
      <c r="D16" s="295"/>
      <c r="E16" s="295"/>
      <c r="F16" s="295"/>
      <c r="G16" s="296"/>
    </row>
    <row r="17" spans="1:8" ht="17.25" customHeight="1">
      <c r="A17" s="16" t="s">
        <v>7</v>
      </c>
      <c r="B17" s="288">
        <v>31056</v>
      </c>
      <c r="C17" s="31">
        <f>B17+C14</f>
        <v>18755</v>
      </c>
      <c r="D17" s="31">
        <f>C17+D14</f>
        <v>483</v>
      </c>
      <c r="E17" s="31">
        <f>D17+E14</f>
        <v>737</v>
      </c>
      <c r="F17" s="31">
        <f>E17+F14</f>
        <v>1206</v>
      </c>
      <c r="G17" s="297">
        <f>F17+G14</f>
        <v>11602</v>
      </c>
      <c r="H17" s="319"/>
    </row>
    <row r="18" spans="1:7" ht="12.75">
      <c r="A18" s="17" t="s">
        <v>19</v>
      </c>
      <c r="B18" s="298">
        <v>180850</v>
      </c>
      <c r="C18" s="332">
        <f>B18+C13</f>
        <v>365658</v>
      </c>
      <c r="D18" s="332">
        <f>C18+D13</f>
        <v>297494</v>
      </c>
      <c r="E18" s="332">
        <f>D18+E13</f>
        <v>231583</v>
      </c>
      <c r="F18" s="332">
        <f>E18+F13</f>
        <v>176710</v>
      </c>
      <c r="G18" s="332">
        <f>F18+G13</f>
        <v>136708</v>
      </c>
    </row>
    <row r="19" spans="1:8" ht="22.5">
      <c r="A19" s="190" t="s">
        <v>383</v>
      </c>
      <c r="B19" s="298"/>
      <c r="C19" s="285"/>
      <c r="D19" s="181"/>
      <c r="E19" s="181"/>
      <c r="F19" s="181"/>
      <c r="G19" s="405"/>
      <c r="H19" s="407" t="s">
        <v>445</v>
      </c>
    </row>
    <row r="20" spans="1:8" ht="12.75">
      <c r="A20" s="190" t="s">
        <v>53</v>
      </c>
      <c r="B20" s="298"/>
      <c r="C20" s="285"/>
      <c r="D20" s="181"/>
      <c r="E20" s="181"/>
      <c r="F20" s="181"/>
      <c r="G20" s="405"/>
      <c r="H20" s="408" t="s">
        <v>327</v>
      </c>
    </row>
    <row r="21" spans="1:8" ht="12.75">
      <c r="A21" s="320" t="s">
        <v>348</v>
      </c>
      <c r="B21" s="321"/>
      <c r="C21" s="322"/>
      <c r="D21" s="323"/>
      <c r="E21" s="323"/>
      <c r="F21" s="323"/>
      <c r="G21" s="406"/>
      <c r="H21" s="409" t="s">
        <v>354</v>
      </c>
    </row>
    <row r="22" spans="1:7" ht="27.75" customHeight="1">
      <c r="A22" s="16" t="s">
        <v>48</v>
      </c>
      <c r="B22" s="27">
        <f aca="true" t="shared" si="2" ref="B22:G22">IF(B18-B17&lt;0,0,B18-B17)</f>
        <v>149794</v>
      </c>
      <c r="C22" s="27">
        <f t="shared" si="2"/>
        <v>346903</v>
      </c>
      <c r="D22" s="27">
        <f t="shared" si="2"/>
        <v>297011</v>
      </c>
      <c r="E22" s="27">
        <f t="shared" si="2"/>
        <v>230846</v>
      </c>
      <c r="F22" s="27">
        <f t="shared" si="2"/>
        <v>175504</v>
      </c>
      <c r="G22" s="33">
        <f t="shared" si="2"/>
        <v>125106</v>
      </c>
    </row>
    <row r="23" spans="1:7" ht="13.5" thickBot="1">
      <c r="A23" s="300" t="s">
        <v>49</v>
      </c>
      <c r="B23" s="301">
        <f aca="true" t="shared" si="3" ref="B23:G23">B22/B2</f>
        <v>0.2822313372234333</v>
      </c>
      <c r="C23" s="301">
        <f t="shared" si="3"/>
        <v>0.9636194444444445</v>
      </c>
      <c r="D23" s="301">
        <f t="shared" si="3"/>
        <v>0.8250305555555556</v>
      </c>
      <c r="E23" s="301">
        <f t="shared" si="3"/>
        <v>0.6155893333333333</v>
      </c>
      <c r="F23" s="301">
        <f t="shared" si="3"/>
        <v>0.4680106666666667</v>
      </c>
      <c r="G23" s="302">
        <f t="shared" si="3"/>
        <v>0.333616</v>
      </c>
    </row>
    <row r="24" spans="1:7" s="6" customFormat="1" ht="13.5" thickBot="1">
      <c r="A24" s="3"/>
      <c r="B24" s="348">
        <f aca="true" t="shared" si="4" ref="B24:G24">B12+B13-B14+B15</f>
        <v>0</v>
      </c>
      <c r="C24" s="348">
        <f t="shared" si="4"/>
        <v>0</v>
      </c>
      <c r="D24" s="348">
        <f t="shared" si="4"/>
        <v>0</v>
      </c>
      <c r="E24" s="348">
        <f t="shared" si="4"/>
        <v>0</v>
      </c>
      <c r="F24" s="348">
        <f t="shared" si="4"/>
        <v>0</v>
      </c>
      <c r="G24" s="348">
        <f t="shared" si="4"/>
        <v>0</v>
      </c>
    </row>
    <row r="25" spans="1:7" s="6" customFormat="1" ht="51">
      <c r="A25" s="2" t="s">
        <v>20</v>
      </c>
      <c r="B25" s="21" t="s">
        <v>16</v>
      </c>
      <c r="C25" s="21" t="s">
        <v>11</v>
      </c>
      <c r="D25" s="21" t="s">
        <v>12</v>
      </c>
      <c r="E25" s="21" t="s">
        <v>13</v>
      </c>
      <c r="F25" s="21" t="s">
        <v>14</v>
      </c>
      <c r="G25" s="22" t="s">
        <v>15</v>
      </c>
    </row>
    <row r="26" spans="1:7" s="6" customFormat="1" ht="12.75" outlineLevel="1">
      <c r="A26" s="280" t="s">
        <v>318</v>
      </c>
      <c r="B26" s="503">
        <v>681580</v>
      </c>
      <c r="C26" s="503">
        <v>799260</v>
      </c>
      <c r="D26" s="503">
        <v>820660</v>
      </c>
      <c r="E26" s="503">
        <v>845700</v>
      </c>
      <c r="F26" s="503">
        <v>845700</v>
      </c>
      <c r="G26" s="504">
        <v>860700</v>
      </c>
    </row>
    <row r="27" spans="1:7" s="6" customFormat="1" ht="12.75" outlineLevel="1">
      <c r="A27" s="283" t="s">
        <v>319</v>
      </c>
      <c r="B27" s="284"/>
      <c r="C27" s="285"/>
      <c r="D27" s="285"/>
      <c r="E27" s="285"/>
      <c r="F27" s="285"/>
      <c r="G27" s="286"/>
    </row>
    <row r="28" spans="1:8" ht="12.75" outlineLevel="1">
      <c r="A28" s="313" t="s">
        <v>349</v>
      </c>
      <c r="B28" s="314"/>
      <c r="C28" s="314"/>
      <c r="D28" s="314"/>
      <c r="E28" s="314"/>
      <c r="F28" s="314"/>
      <c r="G28" s="315"/>
      <c r="H28" s="5"/>
    </row>
    <row r="29" spans="1:7" ht="12.75" outlineLevel="1">
      <c r="A29" s="283" t="s">
        <v>320</v>
      </c>
      <c r="B29" s="284"/>
      <c r="C29" s="285"/>
      <c r="D29" s="285"/>
      <c r="E29" s="285"/>
      <c r="F29" s="285"/>
      <c r="G29" s="286"/>
    </row>
    <row r="30" spans="1:7" ht="12.75" outlineLevel="1">
      <c r="A30" s="287" t="s">
        <v>322</v>
      </c>
      <c r="B30" s="505">
        <v>717480</v>
      </c>
      <c r="C30" s="505">
        <v>784515</v>
      </c>
      <c r="D30" s="505">
        <v>792400</v>
      </c>
      <c r="E30" s="505">
        <v>800500</v>
      </c>
      <c r="F30" s="505">
        <v>800500</v>
      </c>
      <c r="G30" s="506">
        <v>820500</v>
      </c>
    </row>
    <row r="31" spans="1:7" ht="12.75" outlineLevel="1">
      <c r="A31" s="290" t="s">
        <v>323</v>
      </c>
      <c r="B31" s="176"/>
      <c r="C31" s="176"/>
      <c r="D31" s="176"/>
      <c r="E31" s="176"/>
      <c r="F31" s="176"/>
      <c r="G31" s="177"/>
    </row>
    <row r="32" spans="1:7" ht="12.75" outlineLevel="1">
      <c r="A32" s="292" t="s">
        <v>324</v>
      </c>
      <c r="B32" s="178"/>
      <c r="C32" s="178"/>
      <c r="D32" s="178"/>
      <c r="E32" s="178"/>
      <c r="F32" s="178"/>
      <c r="G32" s="179"/>
    </row>
    <row r="33" spans="1:7" ht="12.75" outlineLevel="1">
      <c r="A33" s="313" t="s">
        <v>350</v>
      </c>
      <c r="B33" s="316"/>
      <c r="C33" s="317"/>
      <c r="D33" s="317"/>
      <c r="E33" s="317"/>
      <c r="F33" s="317"/>
      <c r="G33" s="318"/>
    </row>
    <row r="34" spans="1:7" ht="12.75" outlineLevel="1">
      <c r="A34" s="293" t="s">
        <v>9</v>
      </c>
      <c r="B34" s="30">
        <f aca="true" t="shared" si="5" ref="B34:G34">B26-B30</f>
        <v>-35900</v>
      </c>
      <c r="C34" s="30">
        <f t="shared" si="5"/>
        <v>14745</v>
      </c>
      <c r="D34" s="30">
        <f t="shared" si="5"/>
        <v>28260</v>
      </c>
      <c r="E34" s="30">
        <f t="shared" si="5"/>
        <v>45200</v>
      </c>
      <c r="F34" s="30">
        <f t="shared" si="5"/>
        <v>45200</v>
      </c>
      <c r="G34" s="44">
        <f t="shared" si="5"/>
        <v>40200</v>
      </c>
    </row>
    <row r="35" spans="1:7" ht="12.75" outlineLevel="1">
      <c r="A35" s="303" t="s">
        <v>325</v>
      </c>
      <c r="B35" s="505">
        <v>-4561</v>
      </c>
      <c r="C35" s="505">
        <v>-1198</v>
      </c>
      <c r="D35" s="505">
        <v>-5297</v>
      </c>
      <c r="E35" s="505">
        <v>-15000</v>
      </c>
      <c r="F35" s="505">
        <v>-10000</v>
      </c>
      <c r="G35" s="506">
        <v>-20000</v>
      </c>
    </row>
    <row r="36" spans="1:7" ht="12.75" outlineLevel="1">
      <c r="A36" s="15" t="s">
        <v>3</v>
      </c>
      <c r="B36" s="30">
        <f aca="true" t="shared" si="6" ref="B36:G36">B34+B35</f>
        <v>-40461</v>
      </c>
      <c r="C36" s="30">
        <f t="shared" si="6"/>
        <v>13547</v>
      </c>
      <c r="D36" s="30">
        <f t="shared" si="6"/>
        <v>22963</v>
      </c>
      <c r="E36" s="30">
        <f t="shared" si="6"/>
        <v>30200</v>
      </c>
      <c r="F36" s="30">
        <f t="shared" si="6"/>
        <v>35200</v>
      </c>
      <c r="G36" s="44">
        <f t="shared" si="6"/>
        <v>20200</v>
      </c>
    </row>
    <row r="37" spans="1:7" ht="12.75" outlineLevel="1">
      <c r="A37" s="15" t="s">
        <v>326</v>
      </c>
      <c r="B37" s="505">
        <v>61291</v>
      </c>
      <c r="C37" s="505">
        <v>-13537</v>
      </c>
      <c r="D37" s="505">
        <v>-10754</v>
      </c>
      <c r="E37" s="505">
        <v>-30000</v>
      </c>
      <c r="F37" s="505">
        <v>-30000</v>
      </c>
      <c r="G37" s="289"/>
    </row>
    <row r="38" spans="1:7" ht="25.5" outlineLevel="1">
      <c r="A38" s="16" t="s">
        <v>46</v>
      </c>
      <c r="B38" s="507">
        <f aca="true" t="shared" si="7" ref="B38:G38">B36+B37+B39</f>
        <v>37032</v>
      </c>
      <c r="C38" s="507">
        <f t="shared" si="7"/>
        <v>-5190</v>
      </c>
      <c r="D38" s="507">
        <f t="shared" si="7"/>
        <v>9209</v>
      </c>
      <c r="E38" s="507">
        <f t="shared" si="7"/>
        <v>-4800</v>
      </c>
      <c r="F38" s="507">
        <f t="shared" si="7"/>
        <v>-2800</v>
      </c>
      <c r="G38" s="507">
        <f t="shared" si="7"/>
        <v>10200</v>
      </c>
    </row>
    <row r="39" spans="1:7" ht="25.5" outlineLevel="1">
      <c r="A39" s="16" t="s">
        <v>47</v>
      </c>
      <c r="B39" s="507">
        <v>16202</v>
      </c>
      <c r="C39" s="508">
        <v>-5200</v>
      </c>
      <c r="D39" s="508">
        <v>-3000</v>
      </c>
      <c r="E39" s="508">
        <v>-5000</v>
      </c>
      <c r="F39" s="508">
        <v>-8000</v>
      </c>
      <c r="G39" s="509">
        <v>-10000</v>
      </c>
    </row>
    <row r="40" spans="1:7" ht="12.75" outlineLevel="1">
      <c r="A40" s="294"/>
      <c r="B40" s="295"/>
      <c r="C40" s="295"/>
      <c r="D40" s="295"/>
      <c r="E40" s="295"/>
      <c r="F40" s="295"/>
      <c r="G40" s="296"/>
    </row>
    <row r="41" spans="1:7" ht="25.5" outlineLevel="1">
      <c r="A41" s="16" t="s">
        <v>7</v>
      </c>
      <c r="B41" s="505">
        <v>12664</v>
      </c>
      <c r="C41" s="31">
        <f>B41+C38</f>
        <v>7474</v>
      </c>
      <c r="D41" s="31">
        <f>C41+D38</f>
        <v>16683</v>
      </c>
      <c r="E41" s="31">
        <f>D41+E38</f>
        <v>11883</v>
      </c>
      <c r="F41" s="31">
        <f>E41+F38</f>
        <v>9083</v>
      </c>
      <c r="G41" s="297">
        <f>F41+G38</f>
        <v>19283</v>
      </c>
    </row>
    <row r="42" spans="1:7" ht="12.75" outlineLevel="1">
      <c r="A42" s="17" t="s">
        <v>19</v>
      </c>
      <c r="B42" s="510">
        <v>84291</v>
      </c>
      <c r="C42" s="332">
        <f>B42+C37</f>
        <v>70754</v>
      </c>
      <c r="D42" s="332">
        <f>C42+D37</f>
        <v>60000</v>
      </c>
      <c r="E42" s="332">
        <f>D42+E37</f>
        <v>30000</v>
      </c>
      <c r="F42" s="332">
        <f>E42+F37</f>
        <v>0</v>
      </c>
      <c r="G42" s="332">
        <f>F42+G37</f>
        <v>0</v>
      </c>
    </row>
    <row r="43" spans="1:7" ht="24.75" customHeight="1" outlineLevel="1">
      <c r="A43" s="190" t="s">
        <v>383</v>
      </c>
      <c r="B43" s="183"/>
      <c r="C43" s="181"/>
      <c r="D43" s="181"/>
      <c r="E43" s="181"/>
      <c r="F43" s="181"/>
      <c r="G43" s="299"/>
    </row>
    <row r="44" spans="1:7" ht="12.75" outlineLevel="1">
      <c r="A44" s="190" t="s">
        <v>53</v>
      </c>
      <c r="B44" s="298"/>
      <c r="C44" s="285"/>
      <c r="D44" s="181"/>
      <c r="E44" s="181"/>
      <c r="F44" s="181"/>
      <c r="G44" s="299"/>
    </row>
    <row r="45" spans="1:7" ht="12.75" outlineLevel="1">
      <c r="A45" s="320" t="s">
        <v>348</v>
      </c>
      <c r="B45" s="321">
        <v>60000</v>
      </c>
      <c r="C45" s="322">
        <v>60000</v>
      </c>
      <c r="D45" s="323">
        <v>60000</v>
      </c>
      <c r="E45" s="323">
        <v>30000</v>
      </c>
      <c r="F45" s="323">
        <v>0</v>
      </c>
      <c r="G45" s="324">
        <v>0</v>
      </c>
    </row>
    <row r="46" spans="1:7" ht="12.75" outlineLevel="1">
      <c r="A46" s="16" t="s">
        <v>48</v>
      </c>
      <c r="B46" s="27">
        <f aca="true" t="shared" si="8" ref="B46:G46">IF(B42-B41&lt;0,0,B42-B41)</f>
        <v>71627</v>
      </c>
      <c r="C46" s="27">
        <f t="shared" si="8"/>
        <v>63280</v>
      </c>
      <c r="D46" s="27">
        <f t="shared" si="8"/>
        <v>43317</v>
      </c>
      <c r="E46" s="27">
        <f t="shared" si="8"/>
        <v>18117</v>
      </c>
      <c r="F46" s="27">
        <f t="shared" si="8"/>
        <v>0</v>
      </c>
      <c r="G46" s="33">
        <f t="shared" si="8"/>
        <v>0</v>
      </c>
    </row>
    <row r="47" spans="1:7" ht="13.5" outlineLevel="1" thickBot="1">
      <c r="A47" s="300" t="s">
        <v>49</v>
      </c>
      <c r="B47" s="301">
        <f aca="true" t="shared" si="9" ref="B47:G47">B46/B26</f>
        <v>0.10508964464919746</v>
      </c>
      <c r="C47" s="301">
        <f t="shared" si="9"/>
        <v>0.07917323524259941</v>
      </c>
      <c r="D47" s="301">
        <f t="shared" si="9"/>
        <v>0.05278312577681379</v>
      </c>
      <c r="E47" s="301">
        <f t="shared" si="9"/>
        <v>0.02142249024476765</v>
      </c>
      <c r="F47" s="301">
        <f t="shared" si="9"/>
        <v>0</v>
      </c>
      <c r="G47" s="302">
        <f t="shared" si="9"/>
        <v>0</v>
      </c>
    </row>
    <row r="48" spans="2:7" ht="13.5" thickBot="1">
      <c r="B48" s="348">
        <f aca="true" t="shared" si="10" ref="B48:G48">B36+B37-B38+B39</f>
        <v>0</v>
      </c>
      <c r="C48" s="348">
        <f t="shared" si="10"/>
        <v>0</v>
      </c>
      <c r="D48" s="348">
        <f t="shared" si="10"/>
        <v>0</v>
      </c>
      <c r="E48" s="348">
        <f t="shared" si="10"/>
        <v>0</v>
      </c>
      <c r="F48" s="348">
        <f t="shared" si="10"/>
        <v>0</v>
      </c>
      <c r="G48" s="348">
        <f t="shared" si="10"/>
        <v>0</v>
      </c>
    </row>
    <row r="49" spans="1:7" ht="51" collapsed="1">
      <c r="A49" s="2" t="s">
        <v>21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80" t="s">
        <v>318</v>
      </c>
      <c r="B50" s="281"/>
      <c r="C50" s="281"/>
      <c r="D50" s="281"/>
      <c r="E50" s="281"/>
      <c r="F50" s="281"/>
      <c r="G50" s="282"/>
    </row>
    <row r="51" spans="1:7" ht="12.75" hidden="1" outlineLevel="1">
      <c r="A51" s="283" t="s">
        <v>319</v>
      </c>
      <c r="B51" s="281"/>
      <c r="C51" s="281"/>
      <c r="D51" s="281"/>
      <c r="E51" s="281"/>
      <c r="F51" s="281"/>
      <c r="G51" s="282"/>
    </row>
    <row r="52" spans="1:7" ht="12.75" hidden="1" outlineLevel="1">
      <c r="A52" s="313" t="s">
        <v>349</v>
      </c>
      <c r="B52" s="314"/>
      <c r="C52" s="314"/>
      <c r="D52" s="314"/>
      <c r="E52" s="314"/>
      <c r="F52" s="314"/>
      <c r="G52" s="315"/>
    </row>
    <row r="53" spans="1:7" ht="12.75" hidden="1" outlineLevel="1">
      <c r="A53" s="283" t="s">
        <v>320</v>
      </c>
      <c r="B53" s="284"/>
      <c r="C53" s="285"/>
      <c r="D53" s="285"/>
      <c r="E53" s="285"/>
      <c r="F53" s="285"/>
      <c r="G53" s="286"/>
    </row>
    <row r="54" spans="1:7" ht="12.75" hidden="1" outlineLevel="1">
      <c r="A54" s="287" t="s">
        <v>322</v>
      </c>
      <c r="B54" s="288"/>
      <c r="C54" s="288"/>
      <c r="D54" s="288"/>
      <c r="E54" s="288"/>
      <c r="F54" s="288"/>
      <c r="G54" s="289"/>
    </row>
    <row r="55" spans="1:7" ht="12.75" hidden="1" outlineLevel="1">
      <c r="A55" s="175" t="s">
        <v>323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324</v>
      </c>
      <c r="B56" s="178"/>
      <c r="C56" s="178"/>
      <c r="D56" s="178"/>
      <c r="E56" s="178"/>
      <c r="F56" s="178"/>
      <c r="G56" s="179"/>
    </row>
    <row r="57" spans="1:7" ht="12.75" hidden="1" outlineLevel="1">
      <c r="A57" s="313" t="s">
        <v>350</v>
      </c>
      <c r="B57" s="316"/>
      <c r="C57" s="317"/>
      <c r="D57" s="317"/>
      <c r="E57" s="317"/>
      <c r="F57" s="317"/>
      <c r="G57" s="318"/>
    </row>
    <row r="58" spans="1:7" ht="12.75" hidden="1" outlineLevel="1">
      <c r="A58" s="304" t="s">
        <v>9</v>
      </c>
      <c r="B58" s="30">
        <f aca="true" t="shared" si="11" ref="B58:G58">B50-B54</f>
        <v>0</v>
      </c>
      <c r="C58" s="30">
        <f t="shared" si="11"/>
        <v>0</v>
      </c>
      <c r="D58" s="30">
        <f t="shared" si="11"/>
        <v>0</v>
      </c>
      <c r="E58" s="30">
        <f t="shared" si="11"/>
        <v>0</v>
      </c>
      <c r="F58" s="30">
        <f t="shared" si="11"/>
        <v>0</v>
      </c>
      <c r="G58" s="44">
        <f t="shared" si="11"/>
        <v>0</v>
      </c>
    </row>
    <row r="59" spans="1:7" ht="12.75" hidden="1" outlineLevel="1">
      <c r="A59" s="15" t="s">
        <v>325</v>
      </c>
      <c r="B59" s="288"/>
      <c r="C59" s="288"/>
      <c r="D59" s="288"/>
      <c r="E59" s="288"/>
      <c r="F59" s="288"/>
      <c r="G59" s="289"/>
    </row>
    <row r="60" spans="1:7" ht="12.75" hidden="1" outlineLevel="1">
      <c r="A60" s="15" t="s">
        <v>3</v>
      </c>
      <c r="B60" s="30">
        <f aca="true" t="shared" si="12" ref="B60:G60">B58+B59</f>
        <v>0</v>
      </c>
      <c r="C60" s="30">
        <f t="shared" si="12"/>
        <v>0</v>
      </c>
      <c r="D60" s="30">
        <f t="shared" si="12"/>
        <v>0</v>
      </c>
      <c r="E60" s="30">
        <f t="shared" si="12"/>
        <v>0</v>
      </c>
      <c r="F60" s="30">
        <f t="shared" si="12"/>
        <v>0</v>
      </c>
      <c r="G60" s="44">
        <f t="shared" si="12"/>
        <v>0</v>
      </c>
    </row>
    <row r="61" spans="1:7" ht="12.75" hidden="1" outlineLevel="1">
      <c r="A61" s="15" t="s">
        <v>326</v>
      </c>
      <c r="B61" s="288"/>
      <c r="C61" s="288"/>
      <c r="D61" s="288"/>
      <c r="E61" s="288"/>
      <c r="F61" s="288"/>
      <c r="G61" s="289"/>
    </row>
    <row r="62" spans="1:7" ht="25.5" hidden="1" outlineLevel="1">
      <c r="A62" s="16" t="s">
        <v>46</v>
      </c>
      <c r="B62" s="284"/>
      <c r="C62" s="285"/>
      <c r="D62" s="285"/>
      <c r="E62" s="285"/>
      <c r="F62" s="285"/>
      <c r="G62" s="286"/>
    </row>
    <row r="63" spans="1:7" ht="25.5" hidden="1" outlineLevel="1">
      <c r="A63" s="16" t="s">
        <v>47</v>
      </c>
      <c r="B63" s="284"/>
      <c r="C63" s="285"/>
      <c r="D63" s="285"/>
      <c r="E63" s="285"/>
      <c r="F63" s="285"/>
      <c r="G63" s="286"/>
    </row>
    <row r="64" spans="1:7" ht="24.75" customHeight="1" hidden="1" outlineLevel="1">
      <c r="A64" s="294"/>
      <c r="B64" s="295"/>
      <c r="C64" s="295"/>
      <c r="D64" s="295"/>
      <c r="E64" s="295"/>
      <c r="F64" s="295"/>
      <c r="G64" s="296"/>
    </row>
    <row r="65" spans="1:7" ht="25.5" hidden="1" outlineLevel="1">
      <c r="A65" s="16" t="s">
        <v>7</v>
      </c>
      <c r="B65" s="288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7">
        <f>F65+G62</f>
        <v>0</v>
      </c>
    </row>
    <row r="66" spans="1:7" ht="12.75" hidden="1" outlineLevel="1">
      <c r="A66" s="305" t="s">
        <v>19</v>
      </c>
      <c r="B66" s="298"/>
      <c r="C66" s="332">
        <f>B66+C61</f>
        <v>0</v>
      </c>
      <c r="D66" s="332">
        <f>C66+D61</f>
        <v>0</v>
      </c>
      <c r="E66" s="332">
        <f>D66+E61</f>
        <v>0</v>
      </c>
      <c r="F66" s="332">
        <f>E66+F61</f>
        <v>0</v>
      </c>
      <c r="G66" s="332">
        <f>F66+G61</f>
        <v>0</v>
      </c>
    </row>
    <row r="67" spans="1:7" ht="22.5" hidden="1" outlineLevel="1">
      <c r="A67" s="190" t="s">
        <v>383</v>
      </c>
      <c r="B67" s="183"/>
      <c r="C67" s="181"/>
      <c r="D67" s="181"/>
      <c r="E67" s="181"/>
      <c r="F67" s="181"/>
      <c r="G67" s="299"/>
    </row>
    <row r="68" spans="1:7" ht="12.75" hidden="1" outlineLevel="1">
      <c r="A68" s="306" t="s">
        <v>53</v>
      </c>
      <c r="B68" s="298"/>
      <c r="C68" s="285"/>
      <c r="D68" s="181"/>
      <c r="E68" s="181"/>
      <c r="F68" s="181"/>
      <c r="G68" s="299"/>
    </row>
    <row r="69" spans="1:7" ht="12.75" hidden="1" outlineLevel="1">
      <c r="A69" s="320" t="s">
        <v>348</v>
      </c>
      <c r="B69" s="321"/>
      <c r="C69" s="322"/>
      <c r="D69" s="323"/>
      <c r="E69" s="323"/>
      <c r="F69" s="323"/>
      <c r="G69" s="324"/>
    </row>
    <row r="70" spans="1:7" ht="12.75" hidden="1" outlineLevel="1">
      <c r="A70" s="16" t="s">
        <v>48</v>
      </c>
      <c r="B70" s="27">
        <f aca="true" t="shared" si="13" ref="B70:G70">IF(B66-B65&lt;0,0,B66-B65)</f>
        <v>0</v>
      </c>
      <c r="C70" s="27">
        <f t="shared" si="13"/>
        <v>0</v>
      </c>
      <c r="D70" s="27">
        <f t="shared" si="13"/>
        <v>0</v>
      </c>
      <c r="E70" s="27">
        <f t="shared" si="13"/>
        <v>0</v>
      </c>
      <c r="F70" s="27">
        <f t="shared" si="13"/>
        <v>0</v>
      </c>
      <c r="G70" s="33">
        <f t="shared" si="13"/>
        <v>0</v>
      </c>
    </row>
    <row r="71" spans="1:7" ht="13.5" hidden="1" outlineLevel="1" thickBot="1">
      <c r="A71" s="300" t="s">
        <v>49</v>
      </c>
      <c r="B71" s="301" t="e">
        <f aca="true" t="shared" si="14" ref="B71:G71">B70/B50</f>
        <v>#DIV/0!</v>
      </c>
      <c r="C71" s="301" t="e">
        <f t="shared" si="14"/>
        <v>#DIV/0!</v>
      </c>
      <c r="D71" s="301" t="e">
        <f t="shared" si="14"/>
        <v>#DIV/0!</v>
      </c>
      <c r="E71" s="301" t="e">
        <f t="shared" si="14"/>
        <v>#DIV/0!</v>
      </c>
      <c r="F71" s="301" t="e">
        <f t="shared" si="14"/>
        <v>#DIV/0!</v>
      </c>
      <c r="G71" s="302" t="e">
        <f t="shared" si="14"/>
        <v>#DIV/0!</v>
      </c>
    </row>
    <row r="72" spans="2:7" ht="13.5" thickBot="1">
      <c r="B72" s="348">
        <f aca="true" t="shared" si="15" ref="B72:G72">B60+B61-B62+B63</f>
        <v>0</v>
      </c>
      <c r="C72" s="348">
        <f t="shared" si="15"/>
        <v>0</v>
      </c>
      <c r="D72" s="348">
        <f t="shared" si="15"/>
        <v>0</v>
      </c>
      <c r="E72" s="348">
        <f t="shared" si="15"/>
        <v>0</v>
      </c>
      <c r="F72" s="348">
        <f t="shared" si="15"/>
        <v>0</v>
      </c>
      <c r="G72" s="348">
        <f t="shared" si="15"/>
        <v>0</v>
      </c>
    </row>
    <row r="73" spans="1:7" ht="51" collapsed="1">
      <c r="A73" s="2" t="s">
        <v>22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80" t="s">
        <v>318</v>
      </c>
      <c r="B74" s="281"/>
      <c r="C74" s="281"/>
      <c r="D74" s="281"/>
      <c r="E74" s="281"/>
      <c r="F74" s="281"/>
      <c r="G74" s="282"/>
    </row>
    <row r="75" spans="1:7" ht="12.75" hidden="1" outlineLevel="1">
      <c r="A75" s="283" t="s">
        <v>319</v>
      </c>
      <c r="B75" s="281"/>
      <c r="C75" s="281"/>
      <c r="D75" s="281"/>
      <c r="E75" s="281"/>
      <c r="F75" s="281"/>
      <c r="G75" s="282"/>
    </row>
    <row r="76" spans="1:7" ht="12.75" hidden="1" outlineLevel="1">
      <c r="A76" s="313" t="s">
        <v>349</v>
      </c>
      <c r="B76" s="314"/>
      <c r="C76" s="314"/>
      <c r="D76" s="314"/>
      <c r="E76" s="314"/>
      <c r="F76" s="314"/>
      <c r="G76" s="315"/>
    </row>
    <row r="77" spans="1:7" ht="12.75" hidden="1" outlineLevel="1">
      <c r="A77" s="283" t="s">
        <v>320</v>
      </c>
      <c r="B77" s="284"/>
      <c r="C77" s="285"/>
      <c r="D77" s="285"/>
      <c r="E77" s="285"/>
      <c r="F77" s="285"/>
      <c r="G77" s="286"/>
    </row>
    <row r="78" spans="1:7" ht="12.75" hidden="1" outlineLevel="1">
      <c r="A78" s="287" t="s">
        <v>322</v>
      </c>
      <c r="B78" s="288"/>
      <c r="C78" s="288"/>
      <c r="D78" s="288"/>
      <c r="E78" s="288"/>
      <c r="F78" s="288"/>
      <c r="G78" s="289"/>
    </row>
    <row r="79" spans="1:7" ht="12.75" hidden="1" outlineLevel="1">
      <c r="A79" s="175" t="s">
        <v>323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324</v>
      </c>
      <c r="B80" s="178"/>
      <c r="C80" s="178"/>
      <c r="D80" s="178"/>
      <c r="E80" s="178"/>
      <c r="F80" s="178"/>
      <c r="G80" s="179"/>
    </row>
    <row r="81" spans="1:7" ht="12.75" hidden="1" outlineLevel="1">
      <c r="A81" s="313" t="s">
        <v>350</v>
      </c>
      <c r="B81" s="316"/>
      <c r="C81" s="317"/>
      <c r="D81" s="317"/>
      <c r="E81" s="317"/>
      <c r="F81" s="317"/>
      <c r="G81" s="318"/>
    </row>
    <row r="82" spans="1:7" ht="12.75" hidden="1" outlineLevel="1">
      <c r="A82" s="304" t="s">
        <v>9</v>
      </c>
      <c r="B82" s="30">
        <f aca="true" t="shared" si="16" ref="B82:G82">B74-B78</f>
        <v>0</v>
      </c>
      <c r="C82" s="30">
        <f t="shared" si="16"/>
        <v>0</v>
      </c>
      <c r="D82" s="30">
        <f t="shared" si="16"/>
        <v>0</v>
      </c>
      <c r="E82" s="30">
        <f t="shared" si="16"/>
        <v>0</v>
      </c>
      <c r="F82" s="30">
        <f t="shared" si="16"/>
        <v>0</v>
      </c>
      <c r="G82" s="44">
        <f t="shared" si="16"/>
        <v>0</v>
      </c>
    </row>
    <row r="83" spans="1:7" ht="12.75" hidden="1" outlineLevel="1">
      <c r="A83" s="15" t="s">
        <v>325</v>
      </c>
      <c r="B83" s="288"/>
      <c r="C83" s="288"/>
      <c r="D83" s="288"/>
      <c r="E83" s="288"/>
      <c r="F83" s="288"/>
      <c r="G83" s="289"/>
    </row>
    <row r="84" spans="1:7" ht="12.75" hidden="1" outlineLevel="1">
      <c r="A84" s="15" t="s">
        <v>3</v>
      </c>
      <c r="B84" s="30">
        <f aca="true" t="shared" si="17" ref="B84:G84">B82+B83</f>
        <v>0</v>
      </c>
      <c r="C84" s="30">
        <f t="shared" si="17"/>
        <v>0</v>
      </c>
      <c r="D84" s="30">
        <f t="shared" si="17"/>
        <v>0</v>
      </c>
      <c r="E84" s="30">
        <f t="shared" si="17"/>
        <v>0</v>
      </c>
      <c r="F84" s="30">
        <f t="shared" si="17"/>
        <v>0</v>
      </c>
      <c r="G84" s="44">
        <f t="shared" si="17"/>
        <v>0</v>
      </c>
    </row>
    <row r="85" spans="1:7" ht="26.25" customHeight="1" hidden="1" outlineLevel="1">
      <c r="A85" s="15" t="s">
        <v>326</v>
      </c>
      <c r="B85" s="288"/>
      <c r="C85" s="288"/>
      <c r="D85" s="288"/>
      <c r="E85" s="288"/>
      <c r="F85" s="288"/>
      <c r="G85" s="289"/>
    </row>
    <row r="86" spans="1:7" ht="25.5" hidden="1" outlineLevel="1">
      <c r="A86" s="16" t="s">
        <v>46</v>
      </c>
      <c r="B86" s="284"/>
      <c r="C86" s="285"/>
      <c r="D86" s="285"/>
      <c r="E86" s="285"/>
      <c r="F86" s="285"/>
      <c r="G86" s="286"/>
    </row>
    <row r="87" spans="1:7" ht="25.5" hidden="1" outlineLevel="1">
      <c r="A87" s="16" t="s">
        <v>47</v>
      </c>
      <c r="B87" s="284"/>
      <c r="C87" s="285"/>
      <c r="D87" s="285"/>
      <c r="E87" s="285"/>
      <c r="F87" s="285"/>
      <c r="G87" s="286"/>
    </row>
    <row r="88" spans="1:7" ht="12.75" hidden="1" outlineLevel="1">
      <c r="A88" s="294"/>
      <c r="B88" s="295"/>
      <c r="C88" s="295"/>
      <c r="D88" s="295"/>
      <c r="E88" s="295"/>
      <c r="F88" s="295"/>
      <c r="G88" s="296"/>
    </row>
    <row r="89" spans="1:7" ht="25.5" hidden="1" outlineLevel="1">
      <c r="A89" s="16" t="s">
        <v>7</v>
      </c>
      <c r="B89" s="288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7">
        <f>F89+G86</f>
        <v>0</v>
      </c>
    </row>
    <row r="90" spans="1:7" ht="12.75" hidden="1" outlineLevel="1">
      <c r="A90" s="305" t="s">
        <v>19</v>
      </c>
      <c r="B90" s="298"/>
      <c r="C90" s="332">
        <f>B90+C85</f>
        <v>0</v>
      </c>
      <c r="D90" s="332">
        <f>C90+D85</f>
        <v>0</v>
      </c>
      <c r="E90" s="332">
        <f>D90+E85</f>
        <v>0</v>
      </c>
      <c r="F90" s="332">
        <f>E90+F85</f>
        <v>0</v>
      </c>
      <c r="G90" s="332">
        <f>F90+G85</f>
        <v>0</v>
      </c>
    </row>
    <row r="91" spans="1:7" ht="22.5" hidden="1" outlineLevel="1">
      <c r="A91" s="190" t="s">
        <v>383</v>
      </c>
      <c r="B91" s="183"/>
      <c r="C91" s="181"/>
      <c r="D91" s="181"/>
      <c r="E91" s="181"/>
      <c r="F91" s="181"/>
      <c r="G91" s="299"/>
    </row>
    <row r="92" spans="1:7" ht="12.75" hidden="1" outlineLevel="1">
      <c r="A92" s="306" t="s">
        <v>53</v>
      </c>
      <c r="B92" s="298"/>
      <c r="C92" s="285"/>
      <c r="D92" s="181"/>
      <c r="E92" s="181"/>
      <c r="F92" s="181"/>
      <c r="G92" s="299"/>
    </row>
    <row r="93" spans="1:7" ht="12.75" hidden="1" outlineLevel="1">
      <c r="A93" s="320" t="s">
        <v>348</v>
      </c>
      <c r="B93" s="321"/>
      <c r="C93" s="322"/>
      <c r="D93" s="323"/>
      <c r="E93" s="323"/>
      <c r="F93" s="323"/>
      <c r="G93" s="324"/>
    </row>
    <row r="94" spans="1:7" ht="12.75" hidden="1" outlineLevel="1">
      <c r="A94" s="16" t="s">
        <v>48</v>
      </c>
      <c r="B94" s="27">
        <f aca="true" t="shared" si="18" ref="B94:G94">IF(B90-B89&lt;0,0,B90-B89)</f>
        <v>0</v>
      </c>
      <c r="C94" s="27">
        <f t="shared" si="18"/>
        <v>0</v>
      </c>
      <c r="D94" s="27">
        <f t="shared" si="18"/>
        <v>0</v>
      </c>
      <c r="E94" s="27">
        <f t="shared" si="18"/>
        <v>0</v>
      </c>
      <c r="F94" s="27">
        <f t="shared" si="18"/>
        <v>0</v>
      </c>
      <c r="G94" s="33">
        <f t="shared" si="18"/>
        <v>0</v>
      </c>
    </row>
    <row r="95" spans="1:7" ht="13.5" hidden="1" outlineLevel="1" thickBot="1">
      <c r="A95" s="300" t="s">
        <v>49</v>
      </c>
      <c r="B95" s="301" t="e">
        <f aca="true" t="shared" si="19" ref="B95:G95">B94/B74</f>
        <v>#DIV/0!</v>
      </c>
      <c r="C95" s="301" t="e">
        <f t="shared" si="19"/>
        <v>#DIV/0!</v>
      </c>
      <c r="D95" s="301" t="e">
        <f t="shared" si="19"/>
        <v>#DIV/0!</v>
      </c>
      <c r="E95" s="301" t="e">
        <f t="shared" si="19"/>
        <v>#DIV/0!</v>
      </c>
      <c r="F95" s="301" t="e">
        <f t="shared" si="19"/>
        <v>#DIV/0!</v>
      </c>
      <c r="G95" s="302" t="e">
        <f t="shared" si="19"/>
        <v>#DIV/0!</v>
      </c>
    </row>
    <row r="96" spans="2:7" ht="13.5" thickBot="1">
      <c r="B96" s="348">
        <f aca="true" t="shared" si="20" ref="B96:G96">B84+B85-B86+B87</f>
        <v>0</v>
      </c>
      <c r="C96" s="348">
        <f t="shared" si="20"/>
        <v>0</v>
      </c>
      <c r="D96" s="348">
        <f t="shared" si="20"/>
        <v>0</v>
      </c>
      <c r="E96" s="348">
        <f t="shared" si="20"/>
        <v>0</v>
      </c>
      <c r="F96" s="348">
        <f t="shared" si="20"/>
        <v>0</v>
      </c>
      <c r="G96" s="348">
        <f t="shared" si="20"/>
        <v>0</v>
      </c>
    </row>
    <row r="97" spans="1:7" ht="51" collapsed="1">
      <c r="A97" s="2" t="s">
        <v>23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80" t="s">
        <v>318</v>
      </c>
      <c r="B98" s="281"/>
      <c r="C98" s="281"/>
      <c r="D98" s="281"/>
      <c r="E98" s="281"/>
      <c r="F98" s="281"/>
      <c r="G98" s="282"/>
    </row>
    <row r="99" spans="1:7" ht="12.75" hidden="1" outlineLevel="1">
      <c r="A99" s="283" t="s">
        <v>319</v>
      </c>
      <c r="B99" s="281"/>
      <c r="C99" s="281"/>
      <c r="D99" s="281"/>
      <c r="E99" s="281"/>
      <c r="F99" s="281"/>
      <c r="G99" s="282"/>
    </row>
    <row r="100" spans="1:7" ht="12.75" hidden="1" outlineLevel="1">
      <c r="A100" s="313" t="s">
        <v>349</v>
      </c>
      <c r="B100" s="314"/>
      <c r="C100" s="314"/>
      <c r="D100" s="314"/>
      <c r="E100" s="314"/>
      <c r="F100" s="314"/>
      <c r="G100" s="315"/>
    </row>
    <row r="101" spans="1:7" ht="12.75" hidden="1" outlineLevel="1">
      <c r="A101" s="283" t="s">
        <v>320</v>
      </c>
      <c r="B101" s="284"/>
      <c r="C101" s="285"/>
      <c r="D101" s="285"/>
      <c r="E101" s="285"/>
      <c r="F101" s="285"/>
      <c r="G101" s="286"/>
    </row>
    <row r="102" spans="1:7" ht="12.75" hidden="1" outlineLevel="1">
      <c r="A102" s="287" t="s">
        <v>322</v>
      </c>
      <c r="B102" s="288"/>
      <c r="C102" s="288"/>
      <c r="D102" s="288"/>
      <c r="E102" s="288"/>
      <c r="F102" s="288"/>
      <c r="G102" s="289"/>
    </row>
    <row r="103" spans="1:7" ht="12.75" hidden="1" outlineLevel="1">
      <c r="A103" s="175" t="s">
        <v>323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324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3" t="s">
        <v>350</v>
      </c>
      <c r="B105" s="316"/>
      <c r="C105" s="317"/>
      <c r="D105" s="317"/>
      <c r="E105" s="317"/>
      <c r="F105" s="317"/>
      <c r="G105" s="318"/>
    </row>
    <row r="106" spans="1:7" ht="24.75" customHeight="1" hidden="1" outlineLevel="1">
      <c r="A106" s="304" t="s">
        <v>9</v>
      </c>
      <c r="B106" s="30">
        <f aca="true" t="shared" si="21" ref="B106:G106">B98-B102</f>
        <v>0</v>
      </c>
      <c r="C106" s="30">
        <f t="shared" si="21"/>
        <v>0</v>
      </c>
      <c r="D106" s="30">
        <f t="shared" si="21"/>
        <v>0</v>
      </c>
      <c r="E106" s="30">
        <f t="shared" si="21"/>
        <v>0</v>
      </c>
      <c r="F106" s="30">
        <f t="shared" si="21"/>
        <v>0</v>
      </c>
      <c r="G106" s="44">
        <f t="shared" si="21"/>
        <v>0</v>
      </c>
    </row>
    <row r="107" spans="1:7" ht="12.75" hidden="1" outlineLevel="1">
      <c r="A107" s="15" t="s">
        <v>325</v>
      </c>
      <c r="B107" s="288"/>
      <c r="C107" s="288"/>
      <c r="D107" s="288"/>
      <c r="E107" s="288"/>
      <c r="F107" s="288"/>
      <c r="G107" s="289"/>
    </row>
    <row r="108" spans="1:7" ht="12.75" hidden="1" outlineLevel="1">
      <c r="A108" s="15" t="s">
        <v>3</v>
      </c>
      <c r="B108" s="30">
        <f aca="true" t="shared" si="22" ref="B108:G108">B106+B107</f>
        <v>0</v>
      </c>
      <c r="C108" s="30">
        <f t="shared" si="22"/>
        <v>0</v>
      </c>
      <c r="D108" s="30">
        <f t="shared" si="22"/>
        <v>0</v>
      </c>
      <c r="E108" s="30">
        <f t="shared" si="22"/>
        <v>0</v>
      </c>
      <c r="F108" s="30">
        <f t="shared" si="22"/>
        <v>0</v>
      </c>
      <c r="G108" s="44">
        <f t="shared" si="22"/>
        <v>0</v>
      </c>
    </row>
    <row r="109" spans="1:7" ht="12.75" hidden="1" outlineLevel="1">
      <c r="A109" s="15" t="s">
        <v>326</v>
      </c>
      <c r="B109" s="288"/>
      <c r="C109" s="288"/>
      <c r="D109" s="288"/>
      <c r="E109" s="288"/>
      <c r="F109" s="288"/>
      <c r="G109" s="289"/>
    </row>
    <row r="110" spans="1:7" ht="25.5" hidden="1" outlineLevel="1">
      <c r="A110" s="16" t="s">
        <v>46</v>
      </c>
      <c r="B110" s="284"/>
      <c r="C110" s="285"/>
      <c r="D110" s="285"/>
      <c r="E110" s="285"/>
      <c r="F110" s="285"/>
      <c r="G110" s="286"/>
    </row>
    <row r="111" spans="1:7" ht="25.5" hidden="1" outlineLevel="1">
      <c r="A111" s="16" t="s">
        <v>47</v>
      </c>
      <c r="B111" s="284"/>
      <c r="C111" s="285"/>
      <c r="D111" s="285"/>
      <c r="E111" s="285"/>
      <c r="F111" s="285"/>
      <c r="G111" s="286"/>
    </row>
    <row r="112" spans="1:7" ht="12.75" hidden="1" outlineLevel="1">
      <c r="A112" s="294"/>
      <c r="B112" s="295"/>
      <c r="C112" s="295"/>
      <c r="D112" s="295"/>
      <c r="E112" s="295"/>
      <c r="F112" s="295"/>
      <c r="G112" s="296"/>
    </row>
    <row r="113" spans="1:7" ht="25.5" hidden="1" outlineLevel="1">
      <c r="A113" s="16" t="s">
        <v>7</v>
      </c>
      <c r="B113" s="288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7">
        <f>F113+G110</f>
        <v>0</v>
      </c>
    </row>
    <row r="114" spans="1:7" ht="12.75" hidden="1" outlineLevel="1">
      <c r="A114" s="305" t="s">
        <v>19</v>
      </c>
      <c r="B114" s="298"/>
      <c r="C114" s="332">
        <f>B114+C109</f>
        <v>0</v>
      </c>
      <c r="D114" s="332">
        <f>C114+D109</f>
        <v>0</v>
      </c>
      <c r="E114" s="332">
        <f>D114+E109</f>
        <v>0</v>
      </c>
      <c r="F114" s="332">
        <f>E114+F109</f>
        <v>0</v>
      </c>
      <c r="G114" s="332">
        <f>F114+G109</f>
        <v>0</v>
      </c>
    </row>
    <row r="115" spans="1:7" ht="22.5" hidden="1" outlineLevel="1">
      <c r="A115" s="190" t="s">
        <v>383</v>
      </c>
      <c r="B115" s="183"/>
      <c r="C115" s="181"/>
      <c r="D115" s="181"/>
      <c r="E115" s="181"/>
      <c r="F115" s="181"/>
      <c r="G115" s="299"/>
    </row>
    <row r="116" spans="1:7" ht="12.75" hidden="1" outlineLevel="1">
      <c r="A116" s="306" t="s">
        <v>53</v>
      </c>
      <c r="B116" s="298"/>
      <c r="C116" s="285"/>
      <c r="D116" s="181"/>
      <c r="E116" s="181"/>
      <c r="F116" s="181"/>
      <c r="G116" s="299"/>
    </row>
    <row r="117" spans="1:7" ht="12.75" hidden="1" outlineLevel="1">
      <c r="A117" s="320" t="s">
        <v>348</v>
      </c>
      <c r="B117" s="321"/>
      <c r="C117" s="322"/>
      <c r="D117" s="323"/>
      <c r="E117" s="323"/>
      <c r="F117" s="323"/>
      <c r="G117" s="324"/>
    </row>
    <row r="118" spans="1:7" ht="12.75" hidden="1" outlineLevel="1">
      <c r="A118" s="16" t="s">
        <v>48</v>
      </c>
      <c r="B118" s="27">
        <f aca="true" t="shared" si="23" ref="B118:G118">IF(B114-B113&lt;0,0,B114-B113)</f>
        <v>0</v>
      </c>
      <c r="C118" s="27">
        <f t="shared" si="23"/>
        <v>0</v>
      </c>
      <c r="D118" s="27">
        <f t="shared" si="23"/>
        <v>0</v>
      </c>
      <c r="E118" s="27">
        <f t="shared" si="23"/>
        <v>0</v>
      </c>
      <c r="F118" s="27">
        <f t="shared" si="23"/>
        <v>0</v>
      </c>
      <c r="G118" s="33">
        <f t="shared" si="23"/>
        <v>0</v>
      </c>
    </row>
    <row r="119" spans="1:7" ht="13.5" hidden="1" outlineLevel="1" thickBot="1">
      <c r="A119" s="300" t="s">
        <v>49</v>
      </c>
      <c r="B119" s="301" t="e">
        <f aca="true" t="shared" si="24" ref="B119:G119">B118/B98</f>
        <v>#DIV/0!</v>
      </c>
      <c r="C119" s="301" t="e">
        <f t="shared" si="24"/>
        <v>#DIV/0!</v>
      </c>
      <c r="D119" s="301" t="e">
        <f t="shared" si="24"/>
        <v>#DIV/0!</v>
      </c>
      <c r="E119" s="301" t="e">
        <f t="shared" si="24"/>
        <v>#DIV/0!</v>
      </c>
      <c r="F119" s="301" t="e">
        <f t="shared" si="24"/>
        <v>#DIV/0!</v>
      </c>
      <c r="G119" s="302" t="e">
        <f t="shared" si="24"/>
        <v>#DIV/0!</v>
      </c>
    </row>
    <row r="120" spans="2:7" ht="13.5" thickBot="1">
      <c r="B120" s="348">
        <f aca="true" t="shared" si="25" ref="B120:G120">B108+B109-B110+B111</f>
        <v>0</v>
      </c>
      <c r="C120" s="348">
        <f t="shared" si="25"/>
        <v>0</v>
      </c>
      <c r="D120" s="348">
        <f t="shared" si="25"/>
        <v>0</v>
      </c>
      <c r="E120" s="348">
        <f t="shared" si="25"/>
        <v>0</v>
      </c>
      <c r="F120" s="348">
        <f t="shared" si="25"/>
        <v>0</v>
      </c>
      <c r="G120" s="348">
        <f t="shared" si="25"/>
        <v>0</v>
      </c>
    </row>
    <row r="121" spans="1:7" ht="51" collapsed="1">
      <c r="A121" s="2" t="s">
        <v>24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80" t="s">
        <v>318</v>
      </c>
      <c r="B122" s="281"/>
      <c r="C122" s="281"/>
      <c r="D122" s="281"/>
      <c r="E122" s="281"/>
      <c r="F122" s="281"/>
      <c r="G122" s="282"/>
    </row>
    <row r="123" spans="1:7" ht="12.75" hidden="1" outlineLevel="1">
      <c r="A123" s="283" t="s">
        <v>319</v>
      </c>
      <c r="B123" s="281"/>
      <c r="C123" s="281"/>
      <c r="D123" s="281"/>
      <c r="E123" s="281"/>
      <c r="F123" s="281"/>
      <c r="G123" s="282"/>
    </row>
    <row r="124" spans="1:7" ht="12.75" hidden="1" outlineLevel="1">
      <c r="A124" s="313" t="s">
        <v>349</v>
      </c>
      <c r="B124" s="314"/>
      <c r="C124" s="314"/>
      <c r="D124" s="314"/>
      <c r="E124" s="314"/>
      <c r="F124" s="314"/>
      <c r="G124" s="315"/>
    </row>
    <row r="125" spans="1:7" ht="12.75" hidden="1" outlineLevel="1">
      <c r="A125" s="283" t="s">
        <v>320</v>
      </c>
      <c r="B125" s="284"/>
      <c r="C125" s="285"/>
      <c r="D125" s="285"/>
      <c r="E125" s="285"/>
      <c r="F125" s="285"/>
      <c r="G125" s="286"/>
    </row>
    <row r="126" spans="1:7" ht="12.75" hidden="1" outlineLevel="1">
      <c r="A126" s="287" t="s">
        <v>322</v>
      </c>
      <c r="B126" s="288"/>
      <c r="C126" s="288"/>
      <c r="D126" s="288"/>
      <c r="E126" s="288"/>
      <c r="F126" s="288"/>
      <c r="G126" s="289"/>
    </row>
    <row r="127" spans="1:7" ht="26.25" customHeight="1" hidden="1" outlineLevel="1">
      <c r="A127" s="175" t="s">
        <v>323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324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3" t="s">
        <v>350</v>
      </c>
      <c r="B129" s="316"/>
      <c r="C129" s="317"/>
      <c r="D129" s="317"/>
      <c r="E129" s="317"/>
      <c r="F129" s="317"/>
      <c r="G129" s="318"/>
    </row>
    <row r="130" spans="1:7" ht="12.75" hidden="1" outlineLevel="1">
      <c r="A130" s="304" t="s">
        <v>9</v>
      </c>
      <c r="B130" s="30">
        <f aca="true" t="shared" si="26" ref="B130:G130">B122-B126</f>
        <v>0</v>
      </c>
      <c r="C130" s="30">
        <f t="shared" si="26"/>
        <v>0</v>
      </c>
      <c r="D130" s="30">
        <f t="shared" si="26"/>
        <v>0</v>
      </c>
      <c r="E130" s="30">
        <f t="shared" si="26"/>
        <v>0</v>
      </c>
      <c r="F130" s="30">
        <f t="shared" si="26"/>
        <v>0</v>
      </c>
      <c r="G130" s="44">
        <f t="shared" si="26"/>
        <v>0</v>
      </c>
    </row>
    <row r="131" spans="1:7" ht="12.75" hidden="1" outlineLevel="1">
      <c r="A131" s="15" t="s">
        <v>325</v>
      </c>
      <c r="B131" s="288"/>
      <c r="C131" s="288"/>
      <c r="D131" s="288"/>
      <c r="E131" s="288"/>
      <c r="F131" s="288"/>
      <c r="G131" s="289"/>
    </row>
    <row r="132" spans="1:7" ht="12.75" hidden="1" outlineLevel="1">
      <c r="A132" s="15" t="s">
        <v>3</v>
      </c>
      <c r="B132" s="30">
        <f aca="true" t="shared" si="27" ref="B132:G132">B130+B131</f>
        <v>0</v>
      </c>
      <c r="C132" s="30">
        <f t="shared" si="27"/>
        <v>0</v>
      </c>
      <c r="D132" s="30">
        <f t="shared" si="27"/>
        <v>0</v>
      </c>
      <c r="E132" s="30">
        <f t="shared" si="27"/>
        <v>0</v>
      </c>
      <c r="F132" s="30">
        <f t="shared" si="27"/>
        <v>0</v>
      </c>
      <c r="G132" s="44">
        <f t="shared" si="27"/>
        <v>0</v>
      </c>
    </row>
    <row r="133" spans="1:7" ht="12.75" hidden="1" outlineLevel="1">
      <c r="A133" s="15" t="s">
        <v>326</v>
      </c>
      <c r="B133" s="288"/>
      <c r="C133" s="288"/>
      <c r="D133" s="288"/>
      <c r="E133" s="288"/>
      <c r="F133" s="288"/>
      <c r="G133" s="289"/>
    </row>
    <row r="134" spans="1:7" ht="25.5" hidden="1" outlineLevel="1">
      <c r="A134" s="16" t="s">
        <v>46</v>
      </c>
      <c r="B134" s="284"/>
      <c r="C134" s="285"/>
      <c r="D134" s="285"/>
      <c r="E134" s="285"/>
      <c r="F134" s="285"/>
      <c r="G134" s="286"/>
    </row>
    <row r="135" spans="1:7" ht="25.5" hidden="1" outlineLevel="1">
      <c r="A135" s="16" t="s">
        <v>47</v>
      </c>
      <c r="B135" s="284"/>
      <c r="C135" s="285"/>
      <c r="D135" s="285"/>
      <c r="E135" s="285"/>
      <c r="F135" s="285"/>
      <c r="G135" s="286"/>
    </row>
    <row r="136" spans="1:7" ht="12.75" hidden="1" outlineLevel="1">
      <c r="A136" s="294"/>
      <c r="B136" s="295"/>
      <c r="C136" s="295"/>
      <c r="D136" s="295"/>
      <c r="E136" s="295"/>
      <c r="F136" s="295"/>
      <c r="G136" s="296"/>
    </row>
    <row r="137" spans="1:7" ht="25.5" hidden="1" outlineLevel="1">
      <c r="A137" s="16" t="s">
        <v>7</v>
      </c>
      <c r="B137" s="288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7">
        <f>F137+G134</f>
        <v>0</v>
      </c>
    </row>
    <row r="138" spans="1:7" ht="12.75" hidden="1" outlineLevel="1">
      <c r="A138" s="305" t="s">
        <v>19</v>
      </c>
      <c r="B138" s="298"/>
      <c r="C138" s="332">
        <f>B138+C133</f>
        <v>0</v>
      </c>
      <c r="D138" s="332">
        <f>C138+D133</f>
        <v>0</v>
      </c>
      <c r="E138" s="332">
        <f>D138+E133</f>
        <v>0</v>
      </c>
      <c r="F138" s="332">
        <f>E138+F133</f>
        <v>0</v>
      </c>
      <c r="G138" s="332">
        <f>F138+G133</f>
        <v>0</v>
      </c>
    </row>
    <row r="139" spans="1:7" ht="22.5" hidden="1" outlineLevel="1">
      <c r="A139" s="190" t="s">
        <v>383</v>
      </c>
      <c r="B139" s="183"/>
      <c r="C139" s="181"/>
      <c r="D139" s="181"/>
      <c r="E139" s="181"/>
      <c r="F139" s="181"/>
      <c r="G139" s="299"/>
    </row>
    <row r="140" spans="1:7" ht="12.75" hidden="1" outlineLevel="1">
      <c r="A140" s="306" t="s">
        <v>53</v>
      </c>
      <c r="B140" s="298"/>
      <c r="C140" s="285"/>
      <c r="D140" s="181"/>
      <c r="E140" s="181"/>
      <c r="F140" s="181"/>
      <c r="G140" s="299"/>
    </row>
    <row r="141" spans="1:7" ht="12.75" hidden="1" outlineLevel="1">
      <c r="A141" s="320" t="s">
        <v>348</v>
      </c>
      <c r="B141" s="321"/>
      <c r="C141" s="322"/>
      <c r="D141" s="323"/>
      <c r="E141" s="323"/>
      <c r="F141" s="323"/>
      <c r="G141" s="324"/>
    </row>
    <row r="142" spans="1:7" ht="12.75" hidden="1" outlineLevel="1">
      <c r="A142" s="16" t="s">
        <v>48</v>
      </c>
      <c r="B142" s="27">
        <f aca="true" t="shared" si="28" ref="B142:G142">IF(B138-B137&lt;0,0,B138-B137)</f>
        <v>0</v>
      </c>
      <c r="C142" s="27">
        <f t="shared" si="28"/>
        <v>0</v>
      </c>
      <c r="D142" s="27">
        <f t="shared" si="28"/>
        <v>0</v>
      </c>
      <c r="E142" s="27">
        <f t="shared" si="28"/>
        <v>0</v>
      </c>
      <c r="F142" s="27">
        <f t="shared" si="28"/>
        <v>0</v>
      </c>
      <c r="G142" s="33">
        <f t="shared" si="28"/>
        <v>0</v>
      </c>
    </row>
    <row r="143" spans="1:7" ht="13.5" hidden="1" outlineLevel="1" thickBot="1">
      <c r="A143" s="300" t="s">
        <v>49</v>
      </c>
      <c r="B143" s="301" t="e">
        <f aca="true" t="shared" si="29" ref="B143:G143">B142/B122</f>
        <v>#DIV/0!</v>
      </c>
      <c r="C143" s="301" t="e">
        <f t="shared" si="29"/>
        <v>#DIV/0!</v>
      </c>
      <c r="D143" s="301" t="e">
        <f t="shared" si="29"/>
        <v>#DIV/0!</v>
      </c>
      <c r="E143" s="301" t="e">
        <f t="shared" si="29"/>
        <v>#DIV/0!</v>
      </c>
      <c r="F143" s="301" t="e">
        <f t="shared" si="29"/>
        <v>#DIV/0!</v>
      </c>
      <c r="G143" s="302" t="e">
        <f t="shared" si="29"/>
        <v>#DIV/0!</v>
      </c>
    </row>
    <row r="144" spans="2:7" ht="13.5" thickBot="1">
      <c r="B144" s="348">
        <f aca="true" t="shared" si="30" ref="B144:G144">B132+B133-B134+B135</f>
        <v>0</v>
      </c>
      <c r="C144" s="348">
        <f t="shared" si="30"/>
        <v>0</v>
      </c>
      <c r="D144" s="348">
        <f t="shared" si="30"/>
        <v>0</v>
      </c>
      <c r="E144" s="348">
        <f t="shared" si="30"/>
        <v>0</v>
      </c>
      <c r="F144" s="348">
        <f t="shared" si="30"/>
        <v>0</v>
      </c>
      <c r="G144" s="348">
        <f t="shared" si="30"/>
        <v>0</v>
      </c>
    </row>
    <row r="145" spans="1:7" ht="51" collapsed="1">
      <c r="A145" s="2" t="s">
        <v>25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80" t="s">
        <v>318</v>
      </c>
      <c r="B146" s="281"/>
      <c r="C146" s="281"/>
      <c r="D146" s="281"/>
      <c r="E146" s="281"/>
      <c r="F146" s="281"/>
      <c r="G146" s="282"/>
    </row>
    <row r="147" spans="1:7" ht="12.75" hidden="1" outlineLevel="1">
      <c r="A147" s="283" t="s">
        <v>319</v>
      </c>
      <c r="B147" s="281"/>
      <c r="C147" s="281"/>
      <c r="D147" s="281"/>
      <c r="E147" s="281"/>
      <c r="F147" s="281"/>
      <c r="G147" s="282"/>
    </row>
    <row r="148" spans="1:7" ht="15.75" customHeight="1" hidden="1" outlineLevel="1">
      <c r="A148" s="313" t="s">
        <v>349</v>
      </c>
      <c r="B148" s="314"/>
      <c r="C148" s="314"/>
      <c r="D148" s="314"/>
      <c r="E148" s="314"/>
      <c r="F148" s="314"/>
      <c r="G148" s="315"/>
    </row>
    <row r="149" spans="1:7" ht="12.75" hidden="1" outlineLevel="1">
      <c r="A149" s="283" t="s">
        <v>320</v>
      </c>
      <c r="B149" s="284"/>
      <c r="C149" s="285"/>
      <c r="D149" s="285"/>
      <c r="E149" s="285"/>
      <c r="F149" s="285"/>
      <c r="G149" s="286"/>
    </row>
    <row r="150" spans="1:7" ht="12.75" hidden="1" outlineLevel="1">
      <c r="A150" s="287" t="s">
        <v>322</v>
      </c>
      <c r="B150" s="288"/>
      <c r="C150" s="288"/>
      <c r="D150" s="288"/>
      <c r="E150" s="288"/>
      <c r="F150" s="288"/>
      <c r="G150" s="289"/>
    </row>
    <row r="151" spans="1:7" ht="12.75" hidden="1" outlineLevel="1">
      <c r="A151" s="175" t="s">
        <v>323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324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3" t="s">
        <v>350</v>
      </c>
      <c r="B153" s="316"/>
      <c r="C153" s="317"/>
      <c r="D153" s="317"/>
      <c r="E153" s="317"/>
      <c r="F153" s="317"/>
      <c r="G153" s="318"/>
    </row>
    <row r="154" spans="1:7" ht="12.75" hidden="1" outlineLevel="1">
      <c r="A154" s="304" t="s">
        <v>9</v>
      </c>
      <c r="B154" s="30">
        <f aca="true" t="shared" si="31" ref="B154:G154">B146-B150</f>
        <v>0</v>
      </c>
      <c r="C154" s="30">
        <f t="shared" si="31"/>
        <v>0</v>
      </c>
      <c r="D154" s="30">
        <f t="shared" si="31"/>
        <v>0</v>
      </c>
      <c r="E154" s="30">
        <f t="shared" si="31"/>
        <v>0</v>
      </c>
      <c r="F154" s="30">
        <f t="shared" si="31"/>
        <v>0</v>
      </c>
      <c r="G154" s="44">
        <f t="shared" si="31"/>
        <v>0</v>
      </c>
    </row>
    <row r="155" spans="1:7" ht="12.75" hidden="1" outlineLevel="1">
      <c r="A155" s="15" t="s">
        <v>325</v>
      </c>
      <c r="B155" s="288"/>
      <c r="C155" s="288"/>
      <c r="D155" s="288"/>
      <c r="E155" s="288"/>
      <c r="F155" s="288"/>
      <c r="G155" s="289"/>
    </row>
    <row r="156" spans="1:7" ht="12.75" hidden="1" outlineLevel="1">
      <c r="A156" s="15" t="s">
        <v>3</v>
      </c>
      <c r="B156" s="30">
        <f aca="true" t="shared" si="32" ref="B156:G156">B154+B155</f>
        <v>0</v>
      </c>
      <c r="C156" s="30">
        <f t="shared" si="32"/>
        <v>0</v>
      </c>
      <c r="D156" s="30">
        <f t="shared" si="32"/>
        <v>0</v>
      </c>
      <c r="E156" s="30">
        <f t="shared" si="32"/>
        <v>0</v>
      </c>
      <c r="F156" s="30">
        <f t="shared" si="32"/>
        <v>0</v>
      </c>
      <c r="G156" s="44">
        <f t="shared" si="32"/>
        <v>0</v>
      </c>
    </row>
    <row r="157" spans="1:7" ht="12.75" hidden="1" outlineLevel="1">
      <c r="A157" s="15" t="s">
        <v>326</v>
      </c>
      <c r="B157" s="288"/>
      <c r="C157" s="288"/>
      <c r="D157" s="288"/>
      <c r="E157" s="288"/>
      <c r="F157" s="288"/>
      <c r="G157" s="289"/>
    </row>
    <row r="158" spans="1:7" ht="25.5" hidden="1" outlineLevel="1">
      <c r="A158" s="16" t="s">
        <v>46</v>
      </c>
      <c r="B158" s="284"/>
      <c r="C158" s="285"/>
      <c r="D158" s="285"/>
      <c r="E158" s="285"/>
      <c r="F158" s="285"/>
      <c r="G158" s="286"/>
    </row>
    <row r="159" spans="1:7" ht="25.5" hidden="1" outlineLevel="1">
      <c r="A159" s="16" t="s">
        <v>47</v>
      </c>
      <c r="B159" s="284"/>
      <c r="C159" s="285"/>
      <c r="D159" s="285"/>
      <c r="E159" s="285"/>
      <c r="F159" s="285"/>
      <c r="G159" s="286"/>
    </row>
    <row r="160" spans="1:7" ht="12.75" hidden="1" outlineLevel="1">
      <c r="A160" s="294"/>
      <c r="B160" s="295"/>
      <c r="C160" s="295"/>
      <c r="D160" s="295"/>
      <c r="E160" s="295"/>
      <c r="F160" s="295"/>
      <c r="G160" s="296"/>
    </row>
    <row r="161" spans="1:7" ht="25.5" hidden="1" outlineLevel="1">
      <c r="A161" s="16" t="s">
        <v>7</v>
      </c>
      <c r="B161" s="288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7">
        <f>F161+G158</f>
        <v>0</v>
      </c>
    </row>
    <row r="162" spans="1:7" ht="12.75" hidden="1" outlineLevel="1">
      <c r="A162" s="305" t="s">
        <v>19</v>
      </c>
      <c r="B162" s="298"/>
      <c r="C162" s="332">
        <f>B162+C157</f>
        <v>0</v>
      </c>
      <c r="D162" s="332">
        <f>C162+D157</f>
        <v>0</v>
      </c>
      <c r="E162" s="332">
        <f>D162+E157</f>
        <v>0</v>
      </c>
      <c r="F162" s="332">
        <f>E162+F157</f>
        <v>0</v>
      </c>
      <c r="G162" s="332">
        <f>F162+G157</f>
        <v>0</v>
      </c>
    </row>
    <row r="163" spans="1:7" ht="22.5" hidden="1" outlineLevel="1">
      <c r="A163" s="190" t="s">
        <v>383</v>
      </c>
      <c r="B163" s="183"/>
      <c r="C163" s="181"/>
      <c r="D163" s="181"/>
      <c r="E163" s="181"/>
      <c r="F163" s="181"/>
      <c r="G163" s="299"/>
    </row>
    <row r="164" spans="1:7" ht="12.75" hidden="1" outlineLevel="1">
      <c r="A164" s="306" t="s">
        <v>53</v>
      </c>
      <c r="B164" s="298"/>
      <c r="C164" s="285"/>
      <c r="D164" s="181"/>
      <c r="E164" s="181"/>
      <c r="F164" s="181"/>
      <c r="G164" s="299"/>
    </row>
    <row r="165" spans="1:7" ht="12.75" hidden="1" outlineLevel="1">
      <c r="A165" s="320" t="s">
        <v>348</v>
      </c>
      <c r="B165" s="321"/>
      <c r="C165" s="322"/>
      <c r="D165" s="323"/>
      <c r="E165" s="323"/>
      <c r="F165" s="323"/>
      <c r="G165" s="324"/>
    </row>
    <row r="166" spans="1:7" ht="12.75" hidden="1" outlineLevel="1">
      <c r="A166" s="16" t="s">
        <v>48</v>
      </c>
      <c r="B166" s="27">
        <f aca="true" t="shared" si="33" ref="B166:G166">IF(B162-B161&lt;0,0,B162-B161)</f>
        <v>0</v>
      </c>
      <c r="C166" s="27">
        <f t="shared" si="33"/>
        <v>0</v>
      </c>
      <c r="D166" s="27">
        <f t="shared" si="33"/>
        <v>0</v>
      </c>
      <c r="E166" s="27">
        <f t="shared" si="33"/>
        <v>0</v>
      </c>
      <c r="F166" s="27">
        <f t="shared" si="33"/>
        <v>0</v>
      </c>
      <c r="G166" s="33">
        <f t="shared" si="33"/>
        <v>0</v>
      </c>
    </row>
    <row r="167" spans="1:7" ht="13.5" hidden="1" outlineLevel="1" thickBot="1">
      <c r="A167" s="300" t="s">
        <v>49</v>
      </c>
      <c r="B167" s="301" t="e">
        <f aca="true" t="shared" si="34" ref="B167:G167">B166/B146</f>
        <v>#DIV/0!</v>
      </c>
      <c r="C167" s="301" t="e">
        <f t="shared" si="34"/>
        <v>#DIV/0!</v>
      </c>
      <c r="D167" s="301" t="e">
        <f t="shared" si="34"/>
        <v>#DIV/0!</v>
      </c>
      <c r="E167" s="301" t="e">
        <f t="shared" si="34"/>
        <v>#DIV/0!</v>
      </c>
      <c r="F167" s="301" t="e">
        <f t="shared" si="34"/>
        <v>#DIV/0!</v>
      </c>
      <c r="G167" s="302" t="e">
        <f t="shared" si="34"/>
        <v>#DIV/0!</v>
      </c>
    </row>
    <row r="168" spans="2:7" ht="13.5" thickBot="1">
      <c r="B168" s="348">
        <f aca="true" t="shared" si="35" ref="B168:G168">B156+B157-B158+B159</f>
        <v>0</v>
      </c>
      <c r="C168" s="348">
        <f t="shared" si="35"/>
        <v>0</v>
      </c>
      <c r="D168" s="348">
        <f t="shared" si="35"/>
        <v>0</v>
      </c>
      <c r="E168" s="348">
        <f t="shared" si="35"/>
        <v>0</v>
      </c>
      <c r="F168" s="348">
        <f t="shared" si="35"/>
        <v>0</v>
      </c>
      <c r="G168" s="348">
        <f t="shared" si="35"/>
        <v>0</v>
      </c>
    </row>
    <row r="169" spans="1:7" ht="36" customHeight="1" collapsed="1">
      <c r="A169" s="2" t="s">
        <v>26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80" t="s">
        <v>318</v>
      </c>
      <c r="B170" s="281"/>
      <c r="C170" s="281"/>
      <c r="D170" s="281"/>
      <c r="E170" s="281"/>
      <c r="F170" s="281"/>
      <c r="G170" s="282"/>
    </row>
    <row r="171" spans="1:7" ht="12.75" hidden="1" outlineLevel="1">
      <c r="A171" s="283" t="s">
        <v>319</v>
      </c>
      <c r="B171" s="281"/>
      <c r="C171" s="281"/>
      <c r="D171" s="281"/>
      <c r="E171" s="281"/>
      <c r="F171" s="281"/>
      <c r="G171" s="282"/>
    </row>
    <row r="172" spans="1:7" ht="12.75" hidden="1" outlineLevel="1">
      <c r="A172" s="313" t="s">
        <v>349</v>
      </c>
      <c r="B172" s="314"/>
      <c r="C172" s="314"/>
      <c r="D172" s="314"/>
      <c r="E172" s="314"/>
      <c r="F172" s="314"/>
      <c r="G172" s="315"/>
    </row>
    <row r="173" spans="1:7" ht="12.75" hidden="1" outlineLevel="1">
      <c r="A173" s="283" t="s">
        <v>320</v>
      </c>
      <c r="B173" s="284"/>
      <c r="C173" s="285"/>
      <c r="D173" s="285"/>
      <c r="E173" s="285"/>
      <c r="F173" s="285"/>
      <c r="G173" s="286"/>
    </row>
    <row r="174" spans="1:7" ht="12.75" hidden="1" outlineLevel="1">
      <c r="A174" s="287" t="s">
        <v>322</v>
      </c>
      <c r="B174" s="288"/>
      <c r="C174" s="288"/>
      <c r="D174" s="288"/>
      <c r="E174" s="288"/>
      <c r="F174" s="288"/>
      <c r="G174" s="289"/>
    </row>
    <row r="175" spans="1:7" ht="12.75" hidden="1" outlineLevel="1">
      <c r="A175" s="175" t="s">
        <v>323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324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3" t="s">
        <v>350</v>
      </c>
      <c r="B177" s="316"/>
      <c r="C177" s="317"/>
      <c r="D177" s="317"/>
      <c r="E177" s="317"/>
      <c r="F177" s="317"/>
      <c r="G177" s="318"/>
    </row>
    <row r="178" spans="1:7" ht="12.75" hidden="1" outlineLevel="1">
      <c r="A178" s="304" t="s">
        <v>9</v>
      </c>
      <c r="B178" s="30">
        <f aca="true" t="shared" si="36" ref="B178:G178">B170-B174</f>
        <v>0</v>
      </c>
      <c r="C178" s="30">
        <f t="shared" si="36"/>
        <v>0</v>
      </c>
      <c r="D178" s="30">
        <f t="shared" si="36"/>
        <v>0</v>
      </c>
      <c r="E178" s="30">
        <f t="shared" si="36"/>
        <v>0</v>
      </c>
      <c r="F178" s="30">
        <f t="shared" si="36"/>
        <v>0</v>
      </c>
      <c r="G178" s="44">
        <f t="shared" si="36"/>
        <v>0</v>
      </c>
    </row>
    <row r="179" spans="1:7" ht="12.75" hidden="1" outlineLevel="1">
      <c r="A179" s="15" t="s">
        <v>325</v>
      </c>
      <c r="B179" s="288"/>
      <c r="C179" s="288"/>
      <c r="D179" s="288"/>
      <c r="E179" s="288"/>
      <c r="F179" s="288"/>
      <c r="G179" s="289"/>
    </row>
    <row r="180" spans="1:7" ht="12.75" hidden="1" outlineLevel="1">
      <c r="A180" s="15" t="s">
        <v>3</v>
      </c>
      <c r="B180" s="30">
        <f aca="true" t="shared" si="37" ref="B180:G180">B178+B179</f>
        <v>0</v>
      </c>
      <c r="C180" s="30">
        <f t="shared" si="37"/>
        <v>0</v>
      </c>
      <c r="D180" s="30">
        <f t="shared" si="37"/>
        <v>0</v>
      </c>
      <c r="E180" s="30">
        <f t="shared" si="37"/>
        <v>0</v>
      </c>
      <c r="F180" s="30">
        <f t="shared" si="37"/>
        <v>0</v>
      </c>
      <c r="G180" s="44">
        <f t="shared" si="37"/>
        <v>0</v>
      </c>
    </row>
    <row r="181" spans="1:7" ht="12.75" hidden="1" outlineLevel="1">
      <c r="A181" s="15" t="s">
        <v>326</v>
      </c>
      <c r="B181" s="288"/>
      <c r="C181" s="288"/>
      <c r="D181" s="288"/>
      <c r="E181" s="288"/>
      <c r="F181" s="288"/>
      <c r="G181" s="289"/>
    </row>
    <row r="182" spans="1:7" ht="25.5" hidden="1" outlineLevel="1">
      <c r="A182" s="16" t="s">
        <v>46</v>
      </c>
      <c r="B182" s="284"/>
      <c r="C182" s="285"/>
      <c r="D182" s="285"/>
      <c r="E182" s="285"/>
      <c r="F182" s="285"/>
      <c r="G182" s="286"/>
    </row>
    <row r="183" spans="1:7" ht="25.5" hidden="1" outlineLevel="1">
      <c r="A183" s="16" t="s">
        <v>47</v>
      </c>
      <c r="B183" s="284"/>
      <c r="C183" s="285"/>
      <c r="D183" s="285"/>
      <c r="E183" s="285"/>
      <c r="F183" s="285"/>
      <c r="G183" s="286"/>
    </row>
    <row r="184" spans="1:7" ht="12.75" hidden="1" outlineLevel="1">
      <c r="A184" s="294"/>
      <c r="B184" s="295"/>
      <c r="C184" s="295"/>
      <c r="D184" s="295"/>
      <c r="E184" s="295"/>
      <c r="F184" s="295"/>
      <c r="G184" s="296"/>
    </row>
    <row r="185" spans="1:7" ht="25.5" hidden="1" outlineLevel="1">
      <c r="A185" s="16" t="s">
        <v>7</v>
      </c>
      <c r="B185" s="288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7">
        <f>F185+G182</f>
        <v>0</v>
      </c>
    </row>
    <row r="186" spans="1:7" ht="12.75" hidden="1" outlineLevel="1">
      <c r="A186" s="305" t="s">
        <v>19</v>
      </c>
      <c r="B186" s="298"/>
      <c r="C186" s="332">
        <f>B186+C181</f>
        <v>0</v>
      </c>
      <c r="D186" s="332">
        <f>C186+D181</f>
        <v>0</v>
      </c>
      <c r="E186" s="332">
        <f>D186+E181</f>
        <v>0</v>
      </c>
      <c r="F186" s="332">
        <f>E186+F181</f>
        <v>0</v>
      </c>
      <c r="G186" s="332">
        <f>F186+G181</f>
        <v>0</v>
      </c>
    </row>
    <row r="187" spans="1:7" ht="22.5" hidden="1" outlineLevel="1">
      <c r="A187" s="190" t="s">
        <v>383</v>
      </c>
      <c r="B187" s="183"/>
      <c r="C187" s="181"/>
      <c r="D187" s="181"/>
      <c r="E187" s="181"/>
      <c r="F187" s="181"/>
      <c r="G187" s="299"/>
    </row>
    <row r="188" spans="1:7" ht="12.75" hidden="1" outlineLevel="1">
      <c r="A188" s="306" t="s">
        <v>53</v>
      </c>
      <c r="B188" s="298"/>
      <c r="C188" s="285"/>
      <c r="D188" s="181"/>
      <c r="E188" s="181"/>
      <c r="F188" s="181"/>
      <c r="G188" s="299"/>
    </row>
    <row r="189" spans="1:7" ht="12.75" hidden="1" outlineLevel="1">
      <c r="A189" s="320" t="s">
        <v>348</v>
      </c>
      <c r="B189" s="321"/>
      <c r="C189" s="322"/>
      <c r="D189" s="323"/>
      <c r="E189" s="323"/>
      <c r="F189" s="323"/>
      <c r="G189" s="324"/>
    </row>
    <row r="190" spans="1:7" ht="24.75" customHeight="1" hidden="1" outlineLevel="1">
      <c r="A190" s="16" t="s">
        <v>48</v>
      </c>
      <c r="B190" s="27">
        <f aca="true" t="shared" si="38" ref="B190:G190">IF(B186-B185&lt;0,0,B186-B185)</f>
        <v>0</v>
      </c>
      <c r="C190" s="27">
        <f t="shared" si="38"/>
        <v>0</v>
      </c>
      <c r="D190" s="27">
        <f t="shared" si="38"/>
        <v>0</v>
      </c>
      <c r="E190" s="27">
        <f t="shared" si="38"/>
        <v>0</v>
      </c>
      <c r="F190" s="27">
        <f t="shared" si="38"/>
        <v>0</v>
      </c>
      <c r="G190" s="33">
        <f t="shared" si="38"/>
        <v>0</v>
      </c>
    </row>
    <row r="191" spans="1:7" ht="13.5" hidden="1" outlineLevel="1" thickBot="1">
      <c r="A191" s="300" t="s">
        <v>49</v>
      </c>
      <c r="B191" s="301" t="e">
        <f aca="true" t="shared" si="39" ref="B191:G191">B190/B170</f>
        <v>#DIV/0!</v>
      </c>
      <c r="C191" s="301" t="e">
        <f t="shared" si="39"/>
        <v>#DIV/0!</v>
      </c>
      <c r="D191" s="301" t="e">
        <f t="shared" si="39"/>
        <v>#DIV/0!</v>
      </c>
      <c r="E191" s="301" t="e">
        <f t="shared" si="39"/>
        <v>#DIV/0!</v>
      </c>
      <c r="F191" s="301" t="e">
        <f t="shared" si="39"/>
        <v>#DIV/0!</v>
      </c>
      <c r="G191" s="302" t="e">
        <f t="shared" si="39"/>
        <v>#DIV/0!</v>
      </c>
    </row>
    <row r="192" spans="2:7" ht="13.5" thickBot="1">
      <c r="B192" s="348">
        <f aca="true" t="shared" si="40" ref="B192:G192">B180+B181-B182+B183</f>
        <v>0</v>
      </c>
      <c r="C192" s="348">
        <f t="shared" si="40"/>
        <v>0</v>
      </c>
      <c r="D192" s="348">
        <f t="shared" si="40"/>
        <v>0</v>
      </c>
      <c r="E192" s="348">
        <f t="shared" si="40"/>
        <v>0</v>
      </c>
      <c r="F192" s="348">
        <f t="shared" si="40"/>
        <v>0</v>
      </c>
      <c r="G192" s="348">
        <f t="shared" si="40"/>
        <v>0</v>
      </c>
    </row>
    <row r="193" spans="1:7" ht="51" collapsed="1">
      <c r="A193" s="2" t="s">
        <v>27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80" t="s">
        <v>318</v>
      </c>
      <c r="B194" s="281"/>
      <c r="C194" s="281"/>
      <c r="D194" s="281"/>
      <c r="E194" s="281"/>
      <c r="F194" s="281"/>
      <c r="G194" s="282"/>
    </row>
    <row r="195" spans="1:7" ht="12.75" hidden="1" outlineLevel="1">
      <c r="A195" s="283" t="s">
        <v>319</v>
      </c>
      <c r="B195" s="281"/>
      <c r="C195" s="281"/>
      <c r="D195" s="281"/>
      <c r="E195" s="281"/>
      <c r="F195" s="281"/>
      <c r="G195" s="282"/>
    </row>
    <row r="196" spans="1:7" ht="12.75" hidden="1" outlineLevel="1">
      <c r="A196" s="313" t="s">
        <v>349</v>
      </c>
      <c r="B196" s="314"/>
      <c r="C196" s="314"/>
      <c r="D196" s="314"/>
      <c r="E196" s="314"/>
      <c r="F196" s="314"/>
      <c r="G196" s="315"/>
    </row>
    <row r="197" spans="1:7" ht="12.75" hidden="1" outlineLevel="1">
      <c r="A197" s="283" t="s">
        <v>320</v>
      </c>
      <c r="B197" s="284"/>
      <c r="C197" s="285"/>
      <c r="D197" s="285"/>
      <c r="E197" s="285"/>
      <c r="F197" s="285"/>
      <c r="G197" s="286"/>
    </row>
    <row r="198" spans="1:7" ht="12.75" hidden="1" outlineLevel="1">
      <c r="A198" s="287" t="s">
        <v>322</v>
      </c>
      <c r="B198" s="288"/>
      <c r="C198" s="288"/>
      <c r="D198" s="288"/>
      <c r="E198" s="288"/>
      <c r="F198" s="288"/>
      <c r="G198" s="289"/>
    </row>
    <row r="199" spans="1:7" ht="12.75" hidden="1" outlineLevel="1">
      <c r="A199" s="175" t="s">
        <v>323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324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3" t="s">
        <v>350</v>
      </c>
      <c r="B201" s="316"/>
      <c r="C201" s="317"/>
      <c r="D201" s="317"/>
      <c r="E201" s="317"/>
      <c r="F201" s="317"/>
      <c r="G201" s="318"/>
    </row>
    <row r="202" spans="1:7" ht="12.75" hidden="1" outlineLevel="1">
      <c r="A202" s="304" t="s">
        <v>9</v>
      </c>
      <c r="B202" s="30">
        <f aca="true" t="shared" si="41" ref="B202:G202">B194-B198</f>
        <v>0</v>
      </c>
      <c r="C202" s="30">
        <f t="shared" si="41"/>
        <v>0</v>
      </c>
      <c r="D202" s="30">
        <f t="shared" si="41"/>
        <v>0</v>
      </c>
      <c r="E202" s="30">
        <f t="shared" si="41"/>
        <v>0</v>
      </c>
      <c r="F202" s="30">
        <f t="shared" si="41"/>
        <v>0</v>
      </c>
      <c r="G202" s="44">
        <f t="shared" si="41"/>
        <v>0</v>
      </c>
    </row>
    <row r="203" spans="1:7" ht="12.75" hidden="1" outlineLevel="1">
      <c r="A203" s="15" t="s">
        <v>325</v>
      </c>
      <c r="B203" s="288"/>
      <c r="C203" s="288"/>
      <c r="D203" s="288"/>
      <c r="E203" s="288"/>
      <c r="F203" s="288"/>
      <c r="G203" s="289"/>
    </row>
    <row r="204" spans="1:7" ht="12.75" hidden="1" outlineLevel="1">
      <c r="A204" s="15" t="s">
        <v>3</v>
      </c>
      <c r="B204" s="30">
        <f aca="true" t="shared" si="42" ref="B204:G204">B202+B203</f>
        <v>0</v>
      </c>
      <c r="C204" s="30">
        <f t="shared" si="42"/>
        <v>0</v>
      </c>
      <c r="D204" s="30">
        <f t="shared" si="42"/>
        <v>0</v>
      </c>
      <c r="E204" s="30">
        <f t="shared" si="42"/>
        <v>0</v>
      </c>
      <c r="F204" s="30">
        <f t="shared" si="42"/>
        <v>0</v>
      </c>
      <c r="G204" s="44">
        <f t="shared" si="42"/>
        <v>0</v>
      </c>
    </row>
    <row r="205" spans="1:7" ht="12.75" hidden="1" outlineLevel="1">
      <c r="A205" s="15" t="s">
        <v>326</v>
      </c>
      <c r="B205" s="288"/>
      <c r="C205" s="288"/>
      <c r="D205" s="288"/>
      <c r="E205" s="288"/>
      <c r="F205" s="288"/>
      <c r="G205" s="289"/>
    </row>
    <row r="206" spans="1:7" ht="25.5" hidden="1" outlineLevel="1">
      <c r="A206" s="16" t="s">
        <v>46</v>
      </c>
      <c r="B206" s="284"/>
      <c r="C206" s="285"/>
      <c r="D206" s="285"/>
      <c r="E206" s="285"/>
      <c r="F206" s="285"/>
      <c r="G206" s="286"/>
    </row>
    <row r="207" spans="1:7" ht="25.5" hidden="1" outlineLevel="1">
      <c r="A207" s="16" t="s">
        <v>47</v>
      </c>
      <c r="B207" s="284"/>
      <c r="C207" s="285"/>
      <c r="D207" s="285"/>
      <c r="E207" s="285"/>
      <c r="F207" s="285"/>
      <c r="G207" s="286"/>
    </row>
    <row r="208" spans="1:7" ht="12.75" hidden="1" outlineLevel="1">
      <c r="A208" s="294"/>
      <c r="B208" s="295"/>
      <c r="C208" s="295"/>
      <c r="D208" s="295"/>
      <c r="E208" s="295"/>
      <c r="F208" s="295"/>
      <c r="G208" s="296"/>
    </row>
    <row r="209" spans="1:7" ht="25.5" hidden="1" outlineLevel="1">
      <c r="A209" s="16" t="s">
        <v>7</v>
      </c>
      <c r="B209" s="288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7">
        <f>F209+G206</f>
        <v>0</v>
      </c>
    </row>
    <row r="210" spans="1:7" ht="12.75" hidden="1" outlineLevel="1">
      <c r="A210" s="305" t="s">
        <v>19</v>
      </c>
      <c r="B210" s="298"/>
      <c r="C210" s="332">
        <f>B210+C205</f>
        <v>0</v>
      </c>
      <c r="D210" s="332">
        <f>C210+D205</f>
        <v>0</v>
      </c>
      <c r="E210" s="332">
        <f>D210+E205</f>
        <v>0</v>
      </c>
      <c r="F210" s="332">
        <f>E210+F205</f>
        <v>0</v>
      </c>
      <c r="G210" s="332">
        <f>F210+G205</f>
        <v>0</v>
      </c>
    </row>
    <row r="211" spans="1:7" ht="24.75" customHeight="1" hidden="1" outlineLevel="1">
      <c r="A211" s="190" t="s">
        <v>383</v>
      </c>
      <c r="B211" s="183"/>
      <c r="C211" s="181"/>
      <c r="D211" s="181"/>
      <c r="E211" s="181"/>
      <c r="F211" s="181"/>
      <c r="G211" s="299"/>
    </row>
    <row r="212" spans="1:7" ht="12.75" hidden="1" outlineLevel="1">
      <c r="A212" s="306" t="s">
        <v>53</v>
      </c>
      <c r="B212" s="298"/>
      <c r="C212" s="285"/>
      <c r="D212" s="181"/>
      <c r="E212" s="181"/>
      <c r="F212" s="181"/>
      <c r="G212" s="299"/>
    </row>
    <row r="213" spans="1:7" ht="12.75" hidden="1" outlineLevel="1">
      <c r="A213" s="320" t="s">
        <v>348</v>
      </c>
      <c r="B213" s="321"/>
      <c r="C213" s="322"/>
      <c r="D213" s="323"/>
      <c r="E213" s="323"/>
      <c r="F213" s="323"/>
      <c r="G213" s="324"/>
    </row>
    <row r="214" spans="1:7" ht="12.75" hidden="1" outlineLevel="1">
      <c r="A214" s="16" t="s">
        <v>48</v>
      </c>
      <c r="B214" s="27">
        <f aca="true" t="shared" si="43" ref="B214:G214">IF(B210-B209&lt;0,0,B210-B209)</f>
        <v>0</v>
      </c>
      <c r="C214" s="27">
        <f t="shared" si="43"/>
        <v>0</v>
      </c>
      <c r="D214" s="27">
        <f t="shared" si="43"/>
        <v>0</v>
      </c>
      <c r="E214" s="27">
        <f t="shared" si="43"/>
        <v>0</v>
      </c>
      <c r="F214" s="27">
        <f t="shared" si="43"/>
        <v>0</v>
      </c>
      <c r="G214" s="33">
        <f t="shared" si="43"/>
        <v>0</v>
      </c>
    </row>
    <row r="215" spans="1:7" ht="13.5" hidden="1" outlineLevel="1" thickBot="1">
      <c r="A215" s="300" t="s">
        <v>49</v>
      </c>
      <c r="B215" s="301" t="e">
        <f aca="true" t="shared" si="44" ref="B215:G215">B214/B194</f>
        <v>#DIV/0!</v>
      </c>
      <c r="C215" s="301" t="e">
        <f t="shared" si="44"/>
        <v>#DIV/0!</v>
      </c>
      <c r="D215" s="301" t="e">
        <f t="shared" si="44"/>
        <v>#DIV/0!</v>
      </c>
      <c r="E215" s="301" t="e">
        <f t="shared" si="44"/>
        <v>#DIV/0!</v>
      </c>
      <c r="F215" s="301" t="e">
        <f t="shared" si="44"/>
        <v>#DIV/0!</v>
      </c>
      <c r="G215" s="302" t="e">
        <f t="shared" si="44"/>
        <v>#DIV/0!</v>
      </c>
    </row>
    <row r="216" spans="2:7" ht="13.5" thickBot="1">
      <c r="B216" s="348">
        <f aca="true" t="shared" si="45" ref="B216:G216">B204+B205-B206+B207</f>
        <v>0</v>
      </c>
      <c r="C216" s="348">
        <f t="shared" si="45"/>
        <v>0</v>
      </c>
      <c r="D216" s="348">
        <f t="shared" si="45"/>
        <v>0</v>
      </c>
      <c r="E216" s="348">
        <f t="shared" si="45"/>
        <v>0</v>
      </c>
      <c r="F216" s="348">
        <f t="shared" si="45"/>
        <v>0</v>
      </c>
      <c r="G216" s="348">
        <f t="shared" si="45"/>
        <v>0</v>
      </c>
    </row>
    <row r="217" spans="1:7" ht="51" collapsed="1">
      <c r="A217" s="2" t="s">
        <v>28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80" t="s">
        <v>318</v>
      </c>
      <c r="B218" s="281"/>
      <c r="C218" s="281"/>
      <c r="D218" s="281"/>
      <c r="E218" s="281"/>
      <c r="F218" s="281"/>
      <c r="G218" s="282"/>
    </row>
    <row r="219" spans="1:7" ht="12.75" hidden="1" outlineLevel="1">
      <c r="A219" s="283" t="s">
        <v>319</v>
      </c>
      <c r="B219" s="281"/>
      <c r="C219" s="281"/>
      <c r="D219" s="281"/>
      <c r="E219" s="281"/>
      <c r="F219" s="281"/>
      <c r="G219" s="282"/>
    </row>
    <row r="220" spans="1:7" ht="12.75" hidden="1" outlineLevel="1">
      <c r="A220" s="313" t="s">
        <v>349</v>
      </c>
      <c r="B220" s="314"/>
      <c r="C220" s="314"/>
      <c r="D220" s="314"/>
      <c r="E220" s="314"/>
      <c r="F220" s="314"/>
      <c r="G220" s="315"/>
    </row>
    <row r="221" spans="1:7" ht="12.75" hidden="1" outlineLevel="1">
      <c r="A221" s="283" t="s">
        <v>320</v>
      </c>
      <c r="B221" s="284"/>
      <c r="C221" s="285"/>
      <c r="D221" s="285"/>
      <c r="E221" s="285"/>
      <c r="F221" s="285"/>
      <c r="G221" s="286"/>
    </row>
    <row r="222" spans="1:7" ht="12.75" hidden="1" outlineLevel="1">
      <c r="A222" s="287" t="s">
        <v>322</v>
      </c>
      <c r="B222" s="288"/>
      <c r="C222" s="288"/>
      <c r="D222" s="288"/>
      <c r="E222" s="288"/>
      <c r="F222" s="288"/>
      <c r="G222" s="289"/>
    </row>
    <row r="223" spans="1:7" ht="12.75" hidden="1" outlineLevel="1">
      <c r="A223" s="175" t="s">
        <v>323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324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3" t="s">
        <v>350</v>
      </c>
      <c r="B225" s="316"/>
      <c r="C225" s="317"/>
      <c r="D225" s="317"/>
      <c r="E225" s="317"/>
      <c r="F225" s="317"/>
      <c r="G225" s="318"/>
    </row>
    <row r="226" spans="1:7" ht="12.75" hidden="1" outlineLevel="1">
      <c r="A226" s="304" t="s">
        <v>9</v>
      </c>
      <c r="B226" s="30">
        <f aca="true" t="shared" si="46" ref="B226:G226">B218-B222</f>
        <v>0</v>
      </c>
      <c r="C226" s="30">
        <f t="shared" si="46"/>
        <v>0</v>
      </c>
      <c r="D226" s="30">
        <f t="shared" si="46"/>
        <v>0</v>
      </c>
      <c r="E226" s="30">
        <f t="shared" si="46"/>
        <v>0</v>
      </c>
      <c r="F226" s="30">
        <f t="shared" si="46"/>
        <v>0</v>
      </c>
      <c r="G226" s="44">
        <f t="shared" si="46"/>
        <v>0</v>
      </c>
    </row>
    <row r="227" spans="1:7" ht="12.75" hidden="1" outlineLevel="1">
      <c r="A227" s="15" t="s">
        <v>325</v>
      </c>
      <c r="B227" s="288"/>
      <c r="C227" s="288"/>
      <c r="D227" s="288"/>
      <c r="E227" s="288"/>
      <c r="F227" s="288"/>
      <c r="G227" s="289"/>
    </row>
    <row r="228" spans="1:7" ht="12.75" hidden="1" outlineLevel="1">
      <c r="A228" s="15" t="s">
        <v>3</v>
      </c>
      <c r="B228" s="30">
        <f aca="true" t="shared" si="47" ref="B228:G228">B226+B227</f>
        <v>0</v>
      </c>
      <c r="C228" s="30">
        <f t="shared" si="47"/>
        <v>0</v>
      </c>
      <c r="D228" s="30">
        <f t="shared" si="47"/>
        <v>0</v>
      </c>
      <c r="E228" s="30">
        <f t="shared" si="47"/>
        <v>0</v>
      </c>
      <c r="F228" s="30">
        <f t="shared" si="47"/>
        <v>0</v>
      </c>
      <c r="G228" s="44">
        <f t="shared" si="47"/>
        <v>0</v>
      </c>
    </row>
    <row r="229" spans="1:7" ht="12.75" hidden="1" outlineLevel="1">
      <c r="A229" s="15" t="s">
        <v>326</v>
      </c>
      <c r="B229" s="288"/>
      <c r="C229" s="288"/>
      <c r="D229" s="288"/>
      <c r="E229" s="288"/>
      <c r="F229" s="288"/>
      <c r="G229" s="289"/>
    </row>
    <row r="230" spans="1:7" ht="25.5" hidden="1" outlineLevel="1">
      <c r="A230" s="16" t="s">
        <v>46</v>
      </c>
      <c r="B230" s="284"/>
      <c r="C230" s="285"/>
      <c r="D230" s="285"/>
      <c r="E230" s="285"/>
      <c r="F230" s="285"/>
      <c r="G230" s="286"/>
    </row>
    <row r="231" spans="1:7" ht="25.5" hidden="1" outlineLevel="1">
      <c r="A231" s="16" t="s">
        <v>47</v>
      </c>
      <c r="B231" s="284"/>
      <c r="C231" s="285"/>
      <c r="D231" s="285"/>
      <c r="E231" s="285"/>
      <c r="F231" s="285"/>
      <c r="G231" s="286"/>
    </row>
    <row r="232" spans="1:7" ht="12.75" hidden="1" outlineLevel="1">
      <c r="A232" s="294"/>
      <c r="B232" s="295"/>
      <c r="C232" s="295"/>
      <c r="D232" s="295"/>
      <c r="E232" s="295"/>
      <c r="F232" s="295"/>
      <c r="G232" s="296"/>
    </row>
    <row r="233" spans="1:7" ht="25.5" hidden="1" outlineLevel="1">
      <c r="A233" s="16" t="s">
        <v>7</v>
      </c>
      <c r="B233" s="288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7">
        <f>F233+G230</f>
        <v>0</v>
      </c>
    </row>
    <row r="234" spans="1:7" ht="12.75" hidden="1" outlineLevel="1">
      <c r="A234" s="305" t="s">
        <v>19</v>
      </c>
      <c r="B234" s="298"/>
      <c r="C234" s="332">
        <f>B234+C229</f>
        <v>0</v>
      </c>
      <c r="D234" s="332">
        <f>C234+D229</f>
        <v>0</v>
      </c>
      <c r="E234" s="332">
        <f>D234+E229</f>
        <v>0</v>
      </c>
      <c r="F234" s="332">
        <f>E234+F229</f>
        <v>0</v>
      </c>
      <c r="G234" s="332">
        <f>F234+G229</f>
        <v>0</v>
      </c>
    </row>
    <row r="235" spans="1:7" ht="22.5" hidden="1" outlineLevel="1">
      <c r="A235" s="190" t="s">
        <v>383</v>
      </c>
      <c r="B235" s="183"/>
      <c r="C235" s="181"/>
      <c r="D235" s="181"/>
      <c r="E235" s="181"/>
      <c r="F235" s="181"/>
      <c r="G235" s="299"/>
    </row>
    <row r="236" spans="1:7" ht="12.75" hidden="1" outlineLevel="1">
      <c r="A236" s="306" t="s">
        <v>53</v>
      </c>
      <c r="B236" s="298"/>
      <c r="C236" s="285"/>
      <c r="D236" s="181"/>
      <c r="E236" s="181"/>
      <c r="F236" s="181"/>
      <c r="G236" s="299"/>
    </row>
    <row r="237" spans="1:7" ht="12.75" hidden="1" outlineLevel="1">
      <c r="A237" s="320" t="s">
        <v>348</v>
      </c>
      <c r="B237" s="321"/>
      <c r="C237" s="322"/>
      <c r="D237" s="323"/>
      <c r="E237" s="323"/>
      <c r="F237" s="323"/>
      <c r="G237" s="324"/>
    </row>
    <row r="238" spans="1:7" ht="12.75" hidden="1" outlineLevel="1">
      <c r="A238" s="16" t="s">
        <v>48</v>
      </c>
      <c r="B238" s="27">
        <f aca="true" t="shared" si="48" ref="B238:G238">IF(B234-B233&lt;0,0,B234-B233)</f>
        <v>0</v>
      </c>
      <c r="C238" s="27">
        <f t="shared" si="48"/>
        <v>0</v>
      </c>
      <c r="D238" s="27">
        <f t="shared" si="48"/>
        <v>0</v>
      </c>
      <c r="E238" s="27">
        <f t="shared" si="48"/>
        <v>0</v>
      </c>
      <c r="F238" s="27">
        <f t="shared" si="48"/>
        <v>0</v>
      </c>
      <c r="G238" s="33">
        <f t="shared" si="48"/>
        <v>0</v>
      </c>
    </row>
    <row r="239" spans="1:7" ht="13.5" hidden="1" outlineLevel="1" thickBot="1">
      <c r="A239" s="300" t="s">
        <v>49</v>
      </c>
      <c r="B239" s="301" t="e">
        <f aca="true" t="shared" si="49" ref="B239:G239">B238/B218</f>
        <v>#DIV/0!</v>
      </c>
      <c r="C239" s="301" t="e">
        <f t="shared" si="49"/>
        <v>#DIV/0!</v>
      </c>
      <c r="D239" s="301" t="e">
        <f t="shared" si="49"/>
        <v>#DIV/0!</v>
      </c>
      <c r="E239" s="301" t="e">
        <f t="shared" si="49"/>
        <v>#DIV/0!</v>
      </c>
      <c r="F239" s="301" t="e">
        <f t="shared" si="49"/>
        <v>#DIV/0!</v>
      </c>
      <c r="G239" s="302" t="e">
        <f t="shared" si="49"/>
        <v>#DIV/0!</v>
      </c>
    </row>
    <row r="240" spans="2:7" ht="13.5" thickBot="1">
      <c r="B240" s="348">
        <f aca="true" t="shared" si="50" ref="B240:G240">B228+B229-B230+B231</f>
        <v>0</v>
      </c>
      <c r="C240" s="348">
        <f t="shared" si="50"/>
        <v>0</v>
      </c>
      <c r="D240" s="348">
        <f t="shared" si="50"/>
        <v>0</v>
      </c>
      <c r="E240" s="348">
        <f t="shared" si="50"/>
        <v>0</v>
      </c>
      <c r="F240" s="348">
        <f t="shared" si="50"/>
        <v>0</v>
      </c>
      <c r="G240" s="348">
        <f t="shared" si="50"/>
        <v>0</v>
      </c>
    </row>
    <row r="241" spans="1:7" ht="39" thickBot="1">
      <c r="A241" s="2" t="s">
        <v>328</v>
      </c>
      <c r="B241" s="336" t="s">
        <v>473</v>
      </c>
      <c r="C241" s="336" t="s">
        <v>474</v>
      </c>
      <c r="D241" s="336" t="s">
        <v>429</v>
      </c>
      <c r="E241" s="336" t="s">
        <v>443</v>
      </c>
      <c r="F241" s="336" t="s">
        <v>456</v>
      </c>
      <c r="G241" s="444" t="s">
        <v>475</v>
      </c>
    </row>
    <row r="242" spans="1:7" ht="12.75">
      <c r="A242" s="280" t="s">
        <v>318</v>
      </c>
      <c r="B242" s="46">
        <f aca="true" t="shared" si="51" ref="B242:G242">B2+B26+B50+B74+B98+B122+B146+B170+B194+B218-B5-B29-B53-B77-B101-B125-B149-B173-B197-B221</f>
        <v>1212329</v>
      </c>
      <c r="C242" s="46">
        <f t="shared" si="51"/>
        <v>1159260</v>
      </c>
      <c r="D242" s="46">
        <f t="shared" si="51"/>
        <v>1180660</v>
      </c>
      <c r="E242" s="46">
        <f t="shared" si="51"/>
        <v>1220700</v>
      </c>
      <c r="F242" s="46">
        <f t="shared" si="51"/>
        <v>1220700</v>
      </c>
      <c r="G242" s="47">
        <f t="shared" si="51"/>
        <v>1235700</v>
      </c>
    </row>
    <row r="243" spans="1:7" ht="12.75">
      <c r="A243" s="283" t="s">
        <v>319</v>
      </c>
      <c r="B243" s="307">
        <f aca="true" t="shared" si="52" ref="B243:G244">B3+B27+B51+B75+B99+B123+B147+B171+B195+B219</f>
        <v>0</v>
      </c>
      <c r="C243" s="307">
        <f t="shared" si="52"/>
        <v>0</v>
      </c>
      <c r="D243" s="307">
        <f t="shared" si="52"/>
        <v>0</v>
      </c>
      <c r="E243" s="307">
        <f t="shared" si="52"/>
        <v>0</v>
      </c>
      <c r="F243" s="307">
        <f t="shared" si="52"/>
        <v>0</v>
      </c>
      <c r="G243" s="308">
        <f t="shared" si="52"/>
        <v>0</v>
      </c>
    </row>
    <row r="244" spans="1:7" ht="12.75">
      <c r="A244" s="449" t="s">
        <v>349</v>
      </c>
      <c r="B244" s="327">
        <f t="shared" si="52"/>
        <v>0</v>
      </c>
      <c r="C244" s="327">
        <f t="shared" si="52"/>
        <v>0</v>
      </c>
      <c r="D244" s="327">
        <f t="shared" si="52"/>
        <v>0</v>
      </c>
      <c r="E244" s="327">
        <f t="shared" si="52"/>
        <v>0</v>
      </c>
      <c r="F244" s="327">
        <f t="shared" si="52"/>
        <v>0</v>
      </c>
      <c r="G244" s="450">
        <f t="shared" si="52"/>
        <v>0</v>
      </c>
    </row>
    <row r="245" spans="1:7" ht="12.75">
      <c r="A245" s="287" t="s">
        <v>322</v>
      </c>
      <c r="B245" s="46">
        <f aca="true" t="shared" si="53" ref="B245:G245">B6+B30+B54+B78+B102+B126+B150+B174+B198+B222-B8-B32-B56-B80-B104-B128-B152-B176-B200-B224</f>
        <v>1300386</v>
      </c>
      <c r="C245" s="46">
        <f t="shared" si="53"/>
        <v>1102515</v>
      </c>
      <c r="D245" s="46">
        <f t="shared" si="53"/>
        <v>1096400</v>
      </c>
      <c r="E245" s="46">
        <f t="shared" si="53"/>
        <v>1104500</v>
      </c>
      <c r="F245" s="46">
        <f t="shared" si="53"/>
        <v>1116500</v>
      </c>
      <c r="G245" s="47">
        <f t="shared" si="53"/>
        <v>1142500</v>
      </c>
    </row>
    <row r="246" spans="1:7" ht="12.75">
      <c r="A246" s="175" t="s">
        <v>323</v>
      </c>
      <c r="B246" s="307">
        <f aca="true" t="shared" si="54" ref="B246:G246">B7+B31+B55+B79+B103+B127+B151+B175+B199+B223</f>
        <v>0</v>
      </c>
      <c r="C246" s="307">
        <f t="shared" si="54"/>
        <v>0</v>
      </c>
      <c r="D246" s="307">
        <f t="shared" si="54"/>
        <v>0</v>
      </c>
      <c r="E246" s="307">
        <f t="shared" si="54"/>
        <v>0</v>
      </c>
      <c r="F246" s="307">
        <f t="shared" si="54"/>
        <v>0</v>
      </c>
      <c r="G246" s="308">
        <f t="shared" si="54"/>
        <v>0</v>
      </c>
    </row>
    <row r="247" spans="1:7" ht="12.75">
      <c r="A247" s="449" t="s">
        <v>350</v>
      </c>
      <c r="B247" s="316">
        <f aca="true" t="shared" si="55" ref="B247:G247">B9+B33+B57+B81+B105+B129+B153+B177+B201+B225</f>
        <v>0</v>
      </c>
      <c r="C247" s="316">
        <f t="shared" si="55"/>
        <v>0</v>
      </c>
      <c r="D247" s="316">
        <f t="shared" si="55"/>
        <v>0</v>
      </c>
      <c r="E247" s="316">
        <f t="shared" si="55"/>
        <v>0</v>
      </c>
      <c r="F247" s="316">
        <f t="shared" si="55"/>
        <v>0</v>
      </c>
      <c r="G247" s="451">
        <f t="shared" si="55"/>
        <v>0</v>
      </c>
    </row>
    <row r="248" spans="1:7" ht="12.75">
      <c r="A248" s="304" t="s">
        <v>9</v>
      </c>
      <c r="B248" s="30">
        <f aca="true" t="shared" si="56" ref="B248:G248">B242-B245</f>
        <v>-88057</v>
      </c>
      <c r="C248" s="30">
        <f t="shared" si="56"/>
        <v>56745</v>
      </c>
      <c r="D248" s="30">
        <f t="shared" si="56"/>
        <v>84260</v>
      </c>
      <c r="E248" s="30">
        <f t="shared" si="56"/>
        <v>116200</v>
      </c>
      <c r="F248" s="30">
        <f t="shared" si="56"/>
        <v>104200</v>
      </c>
      <c r="G248" s="44">
        <f t="shared" si="56"/>
        <v>93200</v>
      </c>
    </row>
    <row r="249" spans="1:7" ht="12.75">
      <c r="A249" s="15" t="s">
        <v>325</v>
      </c>
      <c r="B249" s="46">
        <f aca="true" t="shared" si="57" ref="B249:G249">B11+B35+B59+B83+B107+B131+B155+B179+B203+B227</f>
        <v>-8078</v>
      </c>
      <c r="C249" s="46">
        <f t="shared" si="57"/>
        <v>-240307</v>
      </c>
      <c r="D249" s="46">
        <f t="shared" si="57"/>
        <v>-11405</v>
      </c>
      <c r="E249" s="46">
        <f t="shared" si="57"/>
        <v>-19835</v>
      </c>
      <c r="F249" s="46">
        <f t="shared" si="57"/>
        <v>-13658</v>
      </c>
      <c r="G249" s="47">
        <f t="shared" si="57"/>
        <v>-22602</v>
      </c>
    </row>
    <row r="250" spans="1:7" ht="12.75">
      <c r="A250" s="15" t="s">
        <v>3</v>
      </c>
      <c r="B250" s="30">
        <f aca="true" t="shared" si="58" ref="B250:G250">B248+B249</f>
        <v>-96135</v>
      </c>
      <c r="C250" s="30">
        <f t="shared" si="58"/>
        <v>-183562</v>
      </c>
      <c r="D250" s="30">
        <f t="shared" si="58"/>
        <v>72855</v>
      </c>
      <c r="E250" s="30">
        <f t="shared" si="58"/>
        <v>96365</v>
      </c>
      <c r="F250" s="30">
        <f t="shared" si="58"/>
        <v>90542</v>
      </c>
      <c r="G250" s="44">
        <f t="shared" si="58"/>
        <v>70598</v>
      </c>
    </row>
    <row r="251" spans="1:7" ht="12.75">
      <c r="A251" s="15" t="s">
        <v>326</v>
      </c>
      <c r="B251" s="46">
        <f aca="true" t="shared" si="59" ref="B251:G253">B13+B37+B61+B85+B109+B133+B157+B181+B205+B229</f>
        <v>61291</v>
      </c>
      <c r="C251" s="46">
        <f t="shared" si="59"/>
        <v>171271</v>
      </c>
      <c r="D251" s="46">
        <f t="shared" si="59"/>
        <v>-78918</v>
      </c>
      <c r="E251" s="46">
        <f t="shared" si="59"/>
        <v>-95911</v>
      </c>
      <c r="F251" s="46">
        <f t="shared" si="59"/>
        <v>-84873</v>
      </c>
      <c r="G251" s="47">
        <f t="shared" si="59"/>
        <v>-40002</v>
      </c>
    </row>
    <row r="252" spans="1:7" ht="25.5">
      <c r="A252" s="16" t="s">
        <v>46</v>
      </c>
      <c r="B252" s="46">
        <f t="shared" si="59"/>
        <v>55057</v>
      </c>
      <c r="C252" s="46">
        <f t="shared" si="59"/>
        <v>-17491</v>
      </c>
      <c r="D252" s="46">
        <f t="shared" si="59"/>
        <v>-9063</v>
      </c>
      <c r="E252" s="46">
        <f t="shared" si="59"/>
        <v>-4546</v>
      </c>
      <c r="F252" s="46">
        <f t="shared" si="59"/>
        <v>-2331</v>
      </c>
      <c r="G252" s="47">
        <f t="shared" si="59"/>
        <v>20596</v>
      </c>
    </row>
    <row r="253" spans="1:7" ht="12.75">
      <c r="A253" s="16" t="s">
        <v>459</v>
      </c>
      <c r="B253" s="46">
        <f t="shared" si="59"/>
        <v>89901</v>
      </c>
      <c r="C253" s="46">
        <f t="shared" si="59"/>
        <v>-5200</v>
      </c>
      <c r="D253" s="46">
        <f t="shared" si="59"/>
        <v>-3000</v>
      </c>
      <c r="E253" s="46">
        <f t="shared" si="59"/>
        <v>-5000</v>
      </c>
      <c r="F253" s="46">
        <f t="shared" si="59"/>
        <v>-8000</v>
      </c>
      <c r="G253" s="47">
        <f t="shared" si="59"/>
        <v>-10000</v>
      </c>
    </row>
    <row r="254" spans="1:7" ht="12.75">
      <c r="A254" s="294"/>
      <c r="B254" s="309"/>
      <c r="C254" s="309"/>
      <c r="D254" s="309"/>
      <c r="E254" s="309"/>
      <c r="F254" s="309"/>
      <c r="G254" s="310"/>
    </row>
    <row r="255" spans="1:7" ht="25.5">
      <c r="A255" s="16" t="s">
        <v>7</v>
      </c>
      <c r="B255" s="46">
        <f>B17+B41+B65+B89+B113+B137+B161+B185+B209+B233</f>
        <v>43720</v>
      </c>
      <c r="C255" s="31">
        <f>B255+C252</f>
        <v>26229</v>
      </c>
      <c r="D255" s="31">
        <f>C255+D252</f>
        <v>17166</v>
      </c>
      <c r="E255" s="31">
        <f>D255+E252</f>
        <v>12620</v>
      </c>
      <c r="F255" s="31">
        <f>E255+F252</f>
        <v>10289</v>
      </c>
      <c r="G255" s="297">
        <f>F255+G252</f>
        <v>30885</v>
      </c>
    </row>
    <row r="256" spans="1:7" ht="12.75">
      <c r="A256" s="17" t="s">
        <v>19</v>
      </c>
      <c r="B256" s="46">
        <f>B18+B42+B66+B90+B114+B138+B162+B186+B210+B234</f>
        <v>265141</v>
      </c>
      <c r="C256" s="46">
        <f aca="true" t="shared" si="60" ref="C256:G259">C18+C42+C66+C90+C114+C138+C162+C186+C210+C234</f>
        <v>436412</v>
      </c>
      <c r="D256" s="46">
        <f t="shared" si="60"/>
        <v>357494</v>
      </c>
      <c r="E256" s="46">
        <f t="shared" si="60"/>
        <v>261583</v>
      </c>
      <c r="F256" s="46">
        <f t="shared" si="60"/>
        <v>176710</v>
      </c>
      <c r="G256" s="47">
        <f t="shared" si="60"/>
        <v>136708</v>
      </c>
    </row>
    <row r="257" spans="1:7" ht="22.5">
      <c r="A257" s="190" t="s">
        <v>383</v>
      </c>
      <c r="B257" s="307">
        <f>B19+B43+B67+B91+B115+B139+B163+B187+B211+B235</f>
        <v>0</v>
      </c>
      <c r="C257" s="307">
        <f t="shared" si="60"/>
        <v>0</v>
      </c>
      <c r="D257" s="307">
        <f t="shared" si="60"/>
        <v>0</v>
      </c>
      <c r="E257" s="307">
        <f t="shared" si="60"/>
        <v>0</v>
      </c>
      <c r="F257" s="307">
        <f t="shared" si="60"/>
        <v>0</v>
      </c>
      <c r="G257" s="308">
        <f t="shared" si="60"/>
        <v>0</v>
      </c>
    </row>
    <row r="258" spans="1:7" ht="12.75">
      <c r="A258" s="190" t="s">
        <v>53</v>
      </c>
      <c r="B258" s="307">
        <f>B20+B44+B68+B92+B116+B140+B164+B188+B212+B236</f>
        <v>0</v>
      </c>
      <c r="C258" s="307">
        <f t="shared" si="60"/>
        <v>0</v>
      </c>
      <c r="D258" s="307">
        <f t="shared" si="60"/>
        <v>0</v>
      </c>
      <c r="E258" s="307">
        <f t="shared" si="60"/>
        <v>0</v>
      </c>
      <c r="F258" s="307">
        <f t="shared" si="60"/>
        <v>0</v>
      </c>
      <c r="G258" s="308">
        <f t="shared" si="60"/>
        <v>0</v>
      </c>
    </row>
    <row r="259" spans="1:7" ht="12.75">
      <c r="A259" s="320" t="s">
        <v>348</v>
      </c>
      <c r="B259" s="327">
        <f>B21+B45+B69+B93+B117+B141+B165+B189+B213+B237</f>
        <v>60000</v>
      </c>
      <c r="C259" s="327">
        <f t="shared" si="60"/>
        <v>60000</v>
      </c>
      <c r="D259" s="327">
        <f t="shared" si="60"/>
        <v>60000</v>
      </c>
      <c r="E259" s="327">
        <f t="shared" si="60"/>
        <v>30000</v>
      </c>
      <c r="F259" s="327">
        <f t="shared" si="60"/>
        <v>0</v>
      </c>
      <c r="G259" s="450">
        <f t="shared" si="60"/>
        <v>0</v>
      </c>
    </row>
    <row r="260" spans="1:7" ht="12.75">
      <c r="A260" s="16" t="s">
        <v>48</v>
      </c>
      <c r="B260" s="27">
        <f aca="true" t="shared" si="61" ref="B260:G260">IF(B256-B255&lt;0,0,B256-B255)</f>
        <v>221421</v>
      </c>
      <c r="C260" s="27">
        <f t="shared" si="61"/>
        <v>410183</v>
      </c>
      <c r="D260" s="27">
        <f t="shared" si="61"/>
        <v>340328</v>
      </c>
      <c r="E260" s="27">
        <f t="shared" si="61"/>
        <v>248963</v>
      </c>
      <c r="F260" s="27">
        <f t="shared" si="61"/>
        <v>166421</v>
      </c>
      <c r="G260" s="33">
        <f t="shared" si="61"/>
        <v>105823</v>
      </c>
    </row>
    <row r="261" spans="1:7" ht="13.5" thickBot="1">
      <c r="A261" s="300" t="s">
        <v>49</v>
      </c>
      <c r="B261" s="301">
        <f aca="true" t="shared" si="62" ref="B261:G261">B260/B242</f>
        <v>0.18264101576387268</v>
      </c>
      <c r="C261" s="301">
        <f t="shared" si="62"/>
        <v>0.3538317547400928</v>
      </c>
      <c r="D261" s="301">
        <f t="shared" si="62"/>
        <v>0.28825233344061796</v>
      </c>
      <c r="E261" s="301">
        <f t="shared" si="62"/>
        <v>0.20395101171458999</v>
      </c>
      <c r="F261" s="301">
        <f t="shared" si="62"/>
        <v>0.13633243221102645</v>
      </c>
      <c r="G261" s="302">
        <f t="shared" si="62"/>
        <v>0.08563809986242615</v>
      </c>
    </row>
    <row r="262" spans="1:2" ht="12.75">
      <c r="A262" s="3"/>
      <c r="B262" s="4"/>
    </row>
    <row r="263" spans="1:8" ht="12.75">
      <c r="A263" s="311" t="s">
        <v>8</v>
      </c>
      <c r="B263" s="27">
        <f aca="true" t="shared" si="63" ref="B263:G263">B250+B251-B252+B253</f>
        <v>0</v>
      </c>
      <c r="C263" s="27">
        <f t="shared" si="63"/>
        <v>0</v>
      </c>
      <c r="D263" s="27">
        <f t="shared" si="63"/>
        <v>0</v>
      </c>
      <c r="E263" s="27">
        <f t="shared" si="63"/>
        <v>0</v>
      </c>
      <c r="F263" s="27">
        <f t="shared" si="63"/>
        <v>0</v>
      </c>
      <c r="G263" s="27">
        <f t="shared" si="63"/>
        <v>0</v>
      </c>
      <c r="H263" s="335" t="s">
        <v>303</v>
      </c>
    </row>
    <row r="264" spans="1:8" ht="12.75">
      <c r="A264" s="311" t="s">
        <v>329</v>
      </c>
      <c r="B264" s="27">
        <f aca="true" t="shared" si="64" ref="B264:G264">B5-B8+B29-B32+B53-B56+B77-B80+B101-B104+B125-B128+B149-B152+B173-B176+B197-B200+B221-B224</f>
        <v>0</v>
      </c>
      <c r="C264" s="27">
        <f t="shared" si="64"/>
        <v>0</v>
      </c>
      <c r="D264" s="27">
        <f t="shared" si="64"/>
        <v>0</v>
      </c>
      <c r="E264" s="27">
        <f t="shared" si="64"/>
        <v>0</v>
      </c>
      <c r="F264" s="27">
        <f t="shared" si="64"/>
        <v>0</v>
      </c>
      <c r="G264" s="27">
        <f t="shared" si="64"/>
        <v>0</v>
      </c>
      <c r="H264" s="335" t="s">
        <v>303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29</v>
      </c>
      <c r="B1" s="336" t="s">
        <v>473</v>
      </c>
      <c r="C1" s="336" t="s">
        <v>474</v>
      </c>
      <c r="D1" s="336" t="s">
        <v>429</v>
      </c>
      <c r="E1" s="336" t="s">
        <v>443</v>
      </c>
      <c r="F1" s="336" t="s">
        <v>456</v>
      </c>
      <c r="G1" s="444" t="s">
        <v>475</v>
      </c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12804193.08</v>
      </c>
      <c r="C2" s="46">
        <f>'Strateegia vorm KOV'!C2+'Strateegia vorm sõltuv üksus'!C242-'Strateegia vorm sõltuv üksus'!C246-'Strateegia vorm sõltuv üksus'!C243</f>
        <v>13123630</v>
      </c>
      <c r="D2" s="46">
        <f>'Strateegia vorm KOV'!D2+'Strateegia vorm sõltuv üksus'!D242-'Strateegia vorm sõltuv üksus'!D246-'Strateegia vorm sõltuv üksus'!D243</f>
        <v>13162935</v>
      </c>
      <c r="E2" s="46">
        <f>'Strateegia vorm KOV'!E2+'Strateegia vorm sõltuv üksus'!E242-'Strateegia vorm sõltuv üksus'!E246-'Strateegia vorm sõltuv üksus'!E243</f>
        <v>13457505</v>
      </c>
      <c r="F2" s="46">
        <f>'Strateegia vorm KOV'!F2+'Strateegia vorm sõltuv üksus'!F242-'Strateegia vorm sõltuv üksus'!F246-'Strateegia vorm sõltuv üksus'!F243</f>
        <v>13727873</v>
      </c>
      <c r="G2" s="47">
        <f>'Strateegia vorm KOV'!G2+'Strateegia vorm sõltuv üksus'!G242-'Strateegia vorm sõltuv üksus'!G246-'Strateegia vorm sõltuv üksus'!G243</f>
        <v>14109432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11804057.79</v>
      </c>
      <c r="C3" s="30">
        <f>'Strateegia vorm KOV'!C13+'Strateegia vorm sõltuv üksus'!C245-'Strateegia vorm sõltuv üksus'!C246-'Strateegia vorm sõltuv üksus'!C243</f>
        <v>11983504</v>
      </c>
      <c r="D3" s="30">
        <f>'Strateegia vorm KOV'!D13+'Strateegia vorm sõltuv üksus'!D245-'Strateegia vorm sõltuv üksus'!D246-'Strateegia vorm sõltuv üksus'!D243</f>
        <v>12056785</v>
      </c>
      <c r="E3" s="30">
        <f>'Strateegia vorm KOV'!E13+'Strateegia vorm sõltuv üksus'!E245-'Strateegia vorm sõltuv üksus'!E246-'Strateegia vorm sõltuv üksus'!E243</f>
        <v>12291710.73</v>
      </c>
      <c r="F3" s="30">
        <f>'Strateegia vorm KOV'!F13+'Strateegia vorm sõltuv üksus'!F245-'Strateegia vorm sõltuv üksus'!F246-'Strateegia vorm sõltuv üksus'!F243</f>
        <v>12550571.7155</v>
      </c>
      <c r="G3" s="44">
        <f>'Strateegia vorm KOV'!G13+'Strateegia vorm sõltuv üksus'!G245-'Strateegia vorm sõltuv üksus'!G246-'Strateegia vorm sõltuv üksus'!G243</f>
        <v>12864893.623837002</v>
      </c>
      <c r="I3" s="6"/>
    </row>
    <row r="4" spans="1:9" ht="12.75">
      <c r="A4" s="278" t="s">
        <v>355</v>
      </c>
      <c r="B4" s="325">
        <f>'Strateegia vorm sõltuv üksus'!B247+'Strateegia vorm KOV'!B18-'Strateegia vorm sõltuv üksus'!B244</f>
        <v>0</v>
      </c>
      <c r="C4" s="325">
        <f>'Strateegia vorm sõltuv üksus'!C247+'Strateegia vorm KOV'!C18-'Strateegia vorm sõltuv üksus'!C244</f>
        <v>0</v>
      </c>
      <c r="D4" s="325">
        <f>'Strateegia vorm sõltuv üksus'!D247+'Strateegia vorm KOV'!D18-'Strateegia vorm sõltuv üksus'!D244</f>
        <v>0</v>
      </c>
      <c r="E4" s="325">
        <f>'Strateegia vorm sõltuv üksus'!E247+'Strateegia vorm KOV'!E18-'Strateegia vorm sõltuv üksus'!E244</f>
        <v>0</v>
      </c>
      <c r="F4" s="325">
        <f>'Strateegia vorm sõltuv üksus'!F247+'Strateegia vorm KOV'!F18-'Strateegia vorm sõltuv üksus'!F244</f>
        <v>0</v>
      </c>
      <c r="G4" s="328">
        <f>'Strateegia vorm sõltuv üksus'!G247+'Strateegia vorm KOV'!G18-'Strateegia vorm sõltuv üksus'!G244</f>
        <v>0</v>
      </c>
      <c r="I4" s="6"/>
    </row>
    <row r="5" spans="1:10" ht="12.75">
      <c r="A5" s="188" t="s">
        <v>9</v>
      </c>
      <c r="B5" s="30">
        <f aca="true" t="shared" si="0" ref="B5:G5">B2-B3</f>
        <v>1000135.290000001</v>
      </c>
      <c r="C5" s="30">
        <f t="shared" si="0"/>
        <v>1140126</v>
      </c>
      <c r="D5" s="30">
        <f t="shared" si="0"/>
        <v>1106150</v>
      </c>
      <c r="E5" s="30">
        <f t="shared" si="0"/>
        <v>1165794.2699999996</v>
      </c>
      <c r="F5" s="30">
        <f t="shared" si="0"/>
        <v>1177301.2844999991</v>
      </c>
      <c r="G5" s="44">
        <f t="shared" si="0"/>
        <v>1244538.3761629984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-627436.0000000001</v>
      </c>
      <c r="C6" s="25">
        <f>'Strateegia vorm KOV'!C21+'Strateegia vorm sõltuv üksus'!C249-'Strateegia vorm KOV'!C30-'Strateegia vorm KOV'!C29</f>
        <v>-2464115</v>
      </c>
      <c r="D6" s="25">
        <f>'Strateegia vorm KOV'!D21+'Strateegia vorm sõltuv üksus'!D249-'Strateegia vorm KOV'!D30-'Strateegia vorm KOV'!D29</f>
        <v>-1665017</v>
      </c>
      <c r="E6" s="25">
        <f>'Strateegia vorm KOV'!E21+'Strateegia vorm sõltuv üksus'!E249-'Strateegia vorm KOV'!E30-'Strateegia vorm KOV'!E29</f>
        <v>-421883</v>
      </c>
      <c r="F6" s="25">
        <f>'Strateegia vorm KOV'!F21+'Strateegia vorm sõltuv üksus'!F249-'Strateegia vorm KOV'!F30-'Strateegia vorm KOV'!F29</f>
        <v>-295443</v>
      </c>
      <c r="G6" s="26">
        <f>'Strateegia vorm KOV'!G21+'Strateegia vorm sõltuv üksus'!G249-'Strateegia vorm KOV'!G30-'Strateegia vorm KOV'!G29</f>
        <v>-289838</v>
      </c>
      <c r="I6" s="6"/>
      <c r="J6" s="5"/>
    </row>
    <row r="7" spans="1:7" ht="12.75">
      <c r="A7" s="15" t="s">
        <v>3</v>
      </c>
      <c r="B7" s="25">
        <f aca="true" t="shared" si="1" ref="B7:G7">B5+B6</f>
        <v>372699.29000000085</v>
      </c>
      <c r="C7" s="25">
        <f t="shared" si="1"/>
        <v>-1323989</v>
      </c>
      <c r="D7" s="25">
        <f t="shared" si="1"/>
        <v>-558867</v>
      </c>
      <c r="E7" s="25">
        <f t="shared" si="1"/>
        <v>743911.2699999996</v>
      </c>
      <c r="F7" s="25">
        <f t="shared" si="1"/>
        <v>881858.2844999991</v>
      </c>
      <c r="G7" s="26">
        <f t="shared" si="1"/>
        <v>954700.3761629984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-680850.81</v>
      </c>
      <c r="C8" s="25">
        <f>'Strateegia vorm KOV'!C34+'Strateegia vorm sõltuv üksus'!C251+'Strateegia vorm KOV'!C30+'Strateegia vorm KOV'!C29</f>
        <v>933190</v>
      </c>
      <c r="D8" s="25">
        <f>'Strateegia vorm KOV'!D34+'Strateegia vorm sõltuv üksus'!D251+'Strateegia vorm KOV'!D30+'Strateegia vorm KOV'!D29</f>
        <v>553437</v>
      </c>
      <c r="E8" s="25">
        <f>'Strateegia vorm KOV'!E34+'Strateegia vorm sõltuv üksus'!E251+'Strateegia vorm KOV'!E30+'Strateegia vorm KOV'!E29</f>
        <v>-744026</v>
      </c>
      <c r="F8" s="25">
        <f>'Strateegia vorm KOV'!F34+'Strateegia vorm sõltuv üksus'!F251+'Strateegia vorm KOV'!F30+'Strateegia vorm KOV'!F29</f>
        <v>-875604</v>
      </c>
      <c r="G8" s="26">
        <f>'Strateegia vorm KOV'!G34+'Strateegia vorm sõltuv üksus'!G251+'Strateegia vorm KOV'!G30+'Strateegia vorm KOV'!G29</f>
        <v>-924036</v>
      </c>
      <c r="I8" s="6"/>
    </row>
    <row r="9" spans="1:7" ht="25.5">
      <c r="A9" s="16" t="s">
        <v>46</v>
      </c>
      <c r="B9" s="25">
        <f>'Strateegia vorm KOV'!B37+'Strateegia vorm sõltuv üksus'!B252</f>
        <v>-221871</v>
      </c>
      <c r="C9" s="25">
        <f>'Strateegia vorm KOV'!C37+'Strateegia vorm sõltuv üksus'!C252</f>
        <v>-395999</v>
      </c>
      <c r="D9" s="25">
        <f>'Strateegia vorm KOV'!D37+'Strateegia vorm sõltuv üksus'!D252</f>
        <v>-8430</v>
      </c>
      <c r="E9" s="25">
        <f>'Strateegia vorm KOV'!E37+'Strateegia vorm sõltuv üksus'!E252</f>
        <v>-5114.730000000447</v>
      </c>
      <c r="F9" s="25">
        <f>'Strateegia vorm KOV'!F37+'Strateegia vorm sõltuv üksus'!F252</f>
        <v>-1745.7155000008643</v>
      </c>
      <c r="G9" s="26">
        <f>'Strateegia vorm KOV'!G37+'Strateegia vorm sõltuv üksus'!G252</f>
        <v>20664.37616299838</v>
      </c>
    </row>
    <row r="10" spans="1:7" ht="12.75">
      <c r="A10" s="16" t="s">
        <v>459</v>
      </c>
      <c r="B10" s="25">
        <f aca="true" t="shared" si="2" ref="B10:G10">B9-B7-B8</f>
        <v>86280.5199999992</v>
      </c>
      <c r="C10" s="25">
        <f t="shared" si="2"/>
        <v>-5200</v>
      </c>
      <c r="D10" s="25">
        <f t="shared" si="2"/>
        <v>-3000</v>
      </c>
      <c r="E10" s="25">
        <f t="shared" si="2"/>
        <v>-5000</v>
      </c>
      <c r="F10" s="25">
        <f t="shared" si="2"/>
        <v>-8000</v>
      </c>
      <c r="G10" s="26">
        <f t="shared" si="2"/>
        <v>-10000</v>
      </c>
    </row>
    <row r="11" spans="1:7" ht="12.75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422228.4</v>
      </c>
      <c r="C12" s="31">
        <f>B12+C9</f>
        <v>26229.400000000023</v>
      </c>
      <c r="D12" s="31">
        <f>C12+D9</f>
        <v>17799.400000000023</v>
      </c>
      <c r="E12" s="31">
        <f>D12+E9</f>
        <v>12684.669999999576</v>
      </c>
      <c r="F12" s="31">
        <f>E12+F9</f>
        <v>10938.954499998712</v>
      </c>
      <c r="G12" s="32">
        <f>F12+G9</f>
        <v>31603.33066299709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5770538</v>
      </c>
      <c r="C13" s="30">
        <f>'Strateegia vorm KOV'!C42+'Strateegia vorm sõltuv üksus'!C256-'Strateegia vorm sõltuv üksus'!C258-'Strateegia vorm sõltuv üksus'!C259</f>
        <v>6703728</v>
      </c>
      <c r="D13" s="30">
        <f>'Strateegia vorm KOV'!D42+'Strateegia vorm sõltuv üksus'!D256-'Strateegia vorm sõltuv üksus'!D258-'Strateegia vorm sõltuv üksus'!D259</f>
        <v>7257165</v>
      </c>
      <c r="E13" s="30">
        <f>'Strateegia vorm KOV'!E42+'Strateegia vorm sõltuv üksus'!E256-'Strateegia vorm sõltuv üksus'!E258-'Strateegia vorm sõltuv üksus'!E259</f>
        <v>6513139</v>
      </c>
      <c r="F13" s="30">
        <f>'Strateegia vorm KOV'!F42+'Strateegia vorm sõltuv üksus'!F256-'Strateegia vorm sõltuv üksus'!F258-'Strateegia vorm sõltuv üksus'!F259</f>
        <v>5637535</v>
      </c>
      <c r="G13" s="44">
        <f>'Strateegia vorm KOV'!G42+'Strateegia vorm sõltuv üksus'!G256-'Strateegia vorm sõltuv üksus'!G258-'Strateegia vorm sõltuv üksus'!G259</f>
        <v>4713499</v>
      </c>
    </row>
    <row r="14" spans="1:7" ht="22.5">
      <c r="A14" s="190" t="s">
        <v>383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48</v>
      </c>
      <c r="B15" s="41">
        <f aca="true" t="shared" si="3" ref="B15:G15">IF(B13-B12&lt;0,0,B13-B12)</f>
        <v>5348309.6</v>
      </c>
      <c r="C15" s="41">
        <f t="shared" si="3"/>
        <v>6677498.6</v>
      </c>
      <c r="D15" s="41">
        <f t="shared" si="3"/>
        <v>7239365.6</v>
      </c>
      <c r="E15" s="41">
        <f t="shared" si="3"/>
        <v>6500454.33</v>
      </c>
      <c r="F15" s="41">
        <f t="shared" si="3"/>
        <v>5626596.045500001</v>
      </c>
      <c r="G15" s="33">
        <f t="shared" si="3"/>
        <v>4681895.669337003</v>
      </c>
    </row>
    <row r="16" spans="1:7" ht="12.75">
      <c r="A16" s="19" t="s">
        <v>49</v>
      </c>
      <c r="B16" s="34">
        <f aca="true" t="shared" si="4" ref="B16:G16">B15/B2</f>
        <v>0.4176998555538808</v>
      </c>
      <c r="C16" s="34">
        <f t="shared" si="4"/>
        <v>0.5088149086799917</v>
      </c>
      <c r="D16" s="34">
        <f t="shared" si="4"/>
        <v>0.5499811098360662</v>
      </c>
      <c r="E16" s="34">
        <f t="shared" si="4"/>
        <v>0.4830356243597903</v>
      </c>
      <c r="F16" s="34">
        <f t="shared" si="4"/>
        <v>0.4098665572955112</v>
      </c>
      <c r="G16" s="35">
        <f t="shared" si="4"/>
        <v>0.3318273669228501</v>
      </c>
    </row>
    <row r="17" spans="1:7" ht="12.75">
      <c r="A17" s="19" t="s">
        <v>50</v>
      </c>
      <c r="B17" s="36">
        <f aca="true" t="shared" si="5" ref="B17:G17">IF((B5+B4)*6&gt;B2,B2+B14,IF((B5+B4)*6&lt;0.6*B2,0.6*B2+B14,(B5+B4)*6+B14))</f>
        <v>7682515.847999999</v>
      </c>
      <c r="C17" s="36">
        <f>IF((C5+C4)*10&gt;C2,C2+C14,IF((C5+C4)*10&lt;0.8*C2,0.8*C2+C14,(C5+C4)*10+C14))</f>
        <v>11401260</v>
      </c>
      <c r="D17" s="36">
        <f>IF((D5+D4)*10&gt;D2,D2+D14,IF((D5+D4)*10&lt;0.8*D2,0.8*D2+D14,(D5+D4)*10+D14))</f>
        <v>11061500</v>
      </c>
      <c r="E17" s="36">
        <f t="shared" si="5"/>
        <v>8074503</v>
      </c>
      <c r="F17" s="36">
        <f t="shared" si="5"/>
        <v>8236723.8</v>
      </c>
      <c r="G17" s="37">
        <f t="shared" si="5"/>
        <v>8465659.2</v>
      </c>
    </row>
    <row r="18" spans="1:7" ht="12.75">
      <c r="A18" s="19" t="s">
        <v>51</v>
      </c>
      <c r="B18" s="38">
        <f aca="true" t="shared" si="6" ref="B18:G18">B17/B2</f>
        <v>0.6</v>
      </c>
      <c r="C18" s="38">
        <f t="shared" si="6"/>
        <v>0.8687581103703778</v>
      </c>
      <c r="D18" s="38">
        <f t="shared" si="6"/>
        <v>0.840352094726594</v>
      </c>
      <c r="E18" s="38">
        <f t="shared" si="6"/>
        <v>0.6</v>
      </c>
      <c r="F18" s="38">
        <f t="shared" si="6"/>
        <v>0.6</v>
      </c>
      <c r="G18" s="35">
        <f t="shared" si="6"/>
        <v>0.6</v>
      </c>
    </row>
    <row r="19" spans="1:7" ht="13.5" thickBot="1">
      <c r="A19" s="23" t="s">
        <v>52</v>
      </c>
      <c r="B19" s="39">
        <f aca="true" t="shared" si="7" ref="B19:G19">B17-B15</f>
        <v>2334206.2479999997</v>
      </c>
      <c r="C19" s="39">
        <f t="shared" si="7"/>
        <v>4723761.4</v>
      </c>
      <c r="D19" s="39">
        <f t="shared" si="7"/>
        <v>3822134.4000000004</v>
      </c>
      <c r="E19" s="39">
        <f t="shared" si="7"/>
        <v>1574048.67</v>
      </c>
      <c r="F19" s="39">
        <f t="shared" si="7"/>
        <v>2610127.754499999</v>
      </c>
      <c r="G19" s="40">
        <f t="shared" si="7"/>
        <v>3783763.5306629967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9.00390625" style="0" customWidth="1"/>
    <col min="4" max="4" width="13.57421875" style="0" customWidth="1"/>
    <col min="5" max="5" width="12.57421875" style="0" customWidth="1"/>
  </cols>
  <sheetData>
    <row r="1" ht="23.25">
      <c r="A1" s="512" t="s">
        <v>517</v>
      </c>
    </row>
    <row r="3" spans="1:5" ht="12.75">
      <c r="A3" s="513" t="s">
        <v>518</v>
      </c>
      <c r="B3" s="513" t="s">
        <v>519</v>
      </c>
      <c r="C3" s="513" t="s">
        <v>520</v>
      </c>
      <c r="D3" s="513" t="s">
        <v>521</v>
      </c>
      <c r="E3" s="513" t="s">
        <v>522</v>
      </c>
    </row>
    <row r="4" spans="1:5" ht="12.75">
      <c r="A4" s="514">
        <v>44013</v>
      </c>
      <c r="B4" s="515">
        <v>1525000</v>
      </c>
      <c r="C4" s="515">
        <v>0</v>
      </c>
      <c r="D4" s="515">
        <v>1652.08</v>
      </c>
      <c r="E4" s="515">
        <v>1652.08</v>
      </c>
    </row>
    <row r="5" spans="1:5" ht="12.75">
      <c r="A5" s="514">
        <v>44044</v>
      </c>
      <c r="B5" s="515">
        <v>1525000</v>
      </c>
      <c r="C5" s="515">
        <v>0</v>
      </c>
      <c r="D5" s="515">
        <v>1652.08</v>
      </c>
      <c r="E5" s="515">
        <v>1652.08</v>
      </c>
    </row>
    <row r="6" spans="1:5" ht="12.75">
      <c r="A6" s="514">
        <v>44075</v>
      </c>
      <c r="B6" s="515">
        <v>1525000</v>
      </c>
      <c r="C6" s="515">
        <v>0</v>
      </c>
      <c r="D6" s="515">
        <v>1652.08</v>
      </c>
      <c r="E6" s="515">
        <v>1652.08</v>
      </c>
    </row>
    <row r="7" spans="1:5" ht="12.75">
      <c r="A7" s="514">
        <v>44105</v>
      </c>
      <c r="B7" s="515">
        <v>1525000</v>
      </c>
      <c r="C7" s="515">
        <v>0</v>
      </c>
      <c r="D7" s="515">
        <v>1652.08</v>
      </c>
      <c r="E7" s="515">
        <v>1652.08</v>
      </c>
    </row>
    <row r="8" spans="1:5" ht="12.75">
      <c r="A8" s="514">
        <v>44136</v>
      </c>
      <c r="B8" s="515">
        <v>1525000</v>
      </c>
      <c r="C8" s="515">
        <v>0</v>
      </c>
      <c r="D8" s="515">
        <v>1652.08</v>
      </c>
      <c r="E8" s="515">
        <v>1652.08</v>
      </c>
    </row>
    <row r="9" spans="1:5" ht="12.75">
      <c r="A9" s="514">
        <v>44166</v>
      </c>
      <c r="B9" s="515">
        <v>1525000</v>
      </c>
      <c r="C9" s="515">
        <v>0</v>
      </c>
      <c r="D9" s="515">
        <v>1652.08</v>
      </c>
      <c r="E9" s="515">
        <v>1652.08</v>
      </c>
    </row>
    <row r="10" spans="1:5" ht="12.75">
      <c r="A10" s="514"/>
      <c r="B10" s="515"/>
      <c r="C10" s="515"/>
      <c r="D10" s="516">
        <f>SUM(D4:D9)</f>
        <v>9912.48</v>
      </c>
      <c r="E10" s="515"/>
    </row>
    <row r="11" spans="1:5" ht="12.75">
      <c r="A11" s="514">
        <v>44197</v>
      </c>
      <c r="B11" s="515">
        <v>1525000</v>
      </c>
      <c r="C11" s="515">
        <v>13377.19</v>
      </c>
      <c r="D11" s="515">
        <v>1652.08</v>
      </c>
      <c r="E11" s="515">
        <v>15029.28</v>
      </c>
    </row>
    <row r="12" spans="1:5" ht="12.75">
      <c r="A12" s="514">
        <v>44228</v>
      </c>
      <c r="B12" s="515">
        <v>1511622.81</v>
      </c>
      <c r="C12" s="515">
        <v>13377.19</v>
      </c>
      <c r="D12" s="515">
        <v>1637.59</v>
      </c>
      <c r="E12" s="515">
        <v>15014.78</v>
      </c>
    </row>
    <row r="13" spans="1:5" ht="12.75">
      <c r="A13" s="514">
        <v>44256</v>
      </c>
      <c r="B13" s="515">
        <v>1498245.61</v>
      </c>
      <c r="C13" s="515">
        <v>13377.19</v>
      </c>
      <c r="D13" s="515">
        <v>1623.1</v>
      </c>
      <c r="E13" s="515">
        <v>15000.29</v>
      </c>
    </row>
    <row r="14" spans="1:5" ht="12.75">
      <c r="A14" s="514">
        <v>44287</v>
      </c>
      <c r="B14" s="515">
        <v>1484868.42</v>
      </c>
      <c r="C14" s="515">
        <v>13377.19</v>
      </c>
      <c r="D14" s="515">
        <v>1608.61</v>
      </c>
      <c r="E14" s="515">
        <v>14985.8</v>
      </c>
    </row>
    <row r="15" spans="1:5" ht="12.75">
      <c r="A15" s="514">
        <v>44317</v>
      </c>
      <c r="B15" s="515">
        <v>1471491.23</v>
      </c>
      <c r="C15" s="515">
        <v>13377.19</v>
      </c>
      <c r="D15" s="515">
        <v>1594.12</v>
      </c>
      <c r="E15" s="515">
        <v>14971.31</v>
      </c>
    </row>
    <row r="16" spans="1:5" ht="12.75">
      <c r="A16" s="514">
        <v>44348</v>
      </c>
      <c r="B16" s="515">
        <v>1458114.04</v>
      </c>
      <c r="C16" s="515">
        <v>13377.19</v>
      </c>
      <c r="D16" s="515">
        <v>1579.62</v>
      </c>
      <c r="E16" s="515">
        <v>14956.82</v>
      </c>
    </row>
    <row r="17" spans="1:5" ht="12.75">
      <c r="A17" s="514">
        <v>44378</v>
      </c>
      <c r="B17" s="515">
        <v>1444736.84</v>
      </c>
      <c r="C17" s="515">
        <v>13377.19</v>
      </c>
      <c r="D17" s="515">
        <v>1565.13</v>
      </c>
      <c r="E17" s="515">
        <v>14942.32</v>
      </c>
    </row>
    <row r="18" spans="1:5" ht="12.75">
      <c r="A18" s="514">
        <v>44409</v>
      </c>
      <c r="B18" s="515">
        <v>1431359.65</v>
      </c>
      <c r="C18" s="515">
        <v>13377.19</v>
      </c>
      <c r="D18" s="515">
        <v>1550.64</v>
      </c>
      <c r="E18" s="515">
        <v>14927.83</v>
      </c>
    </row>
    <row r="19" spans="1:5" ht="12.75">
      <c r="A19" s="514">
        <v>44440</v>
      </c>
      <c r="B19" s="515">
        <v>1417982.46</v>
      </c>
      <c r="C19" s="515">
        <v>13377.19</v>
      </c>
      <c r="D19" s="515">
        <v>1536.15</v>
      </c>
      <c r="E19" s="515">
        <v>14913.34</v>
      </c>
    </row>
    <row r="20" spans="1:5" ht="12.75">
      <c r="A20" s="514">
        <v>44470</v>
      </c>
      <c r="B20" s="515">
        <v>1404605.26</v>
      </c>
      <c r="C20" s="515">
        <v>13377.19</v>
      </c>
      <c r="D20" s="515">
        <v>1521.66</v>
      </c>
      <c r="E20" s="515">
        <v>14898.85</v>
      </c>
    </row>
    <row r="21" spans="1:5" ht="12.75">
      <c r="A21" s="514">
        <v>44501</v>
      </c>
      <c r="B21" s="515">
        <v>1391228.07</v>
      </c>
      <c r="C21" s="515">
        <v>13377.19</v>
      </c>
      <c r="D21" s="515">
        <v>1507.16</v>
      </c>
      <c r="E21" s="515">
        <v>14884.36</v>
      </c>
    </row>
    <row r="22" spans="1:5" ht="12.75">
      <c r="A22" s="514">
        <v>44531</v>
      </c>
      <c r="B22" s="515">
        <v>1377850.88</v>
      </c>
      <c r="C22" s="515">
        <v>13377.19</v>
      </c>
      <c r="D22" s="515">
        <v>1492.67</v>
      </c>
      <c r="E22" s="515">
        <v>14869.86</v>
      </c>
    </row>
    <row r="23" spans="1:5" ht="12.75">
      <c r="A23" s="514"/>
      <c r="B23" s="515"/>
      <c r="C23" s="516">
        <f>SUM(C11:C22)</f>
        <v>160526.28</v>
      </c>
      <c r="D23" s="516">
        <f>SUM(D11:D22)</f>
        <v>18868.53</v>
      </c>
      <c r="E23" s="515"/>
    </row>
    <row r="24" spans="1:5" ht="12.75">
      <c r="A24" s="514">
        <v>44562</v>
      </c>
      <c r="B24" s="515">
        <v>1364473.68</v>
      </c>
      <c r="C24" s="515">
        <v>13377.19</v>
      </c>
      <c r="D24" s="515">
        <v>1478.18</v>
      </c>
      <c r="E24" s="515">
        <v>14855.37</v>
      </c>
    </row>
    <row r="25" spans="1:5" ht="12.75">
      <c r="A25" s="514">
        <v>44593</v>
      </c>
      <c r="B25" s="515">
        <v>1351096.49</v>
      </c>
      <c r="C25" s="515">
        <v>13377.19</v>
      </c>
      <c r="D25" s="515">
        <v>1463.69</v>
      </c>
      <c r="E25" s="515">
        <v>14840.88</v>
      </c>
    </row>
    <row r="26" spans="1:5" ht="12.75">
      <c r="A26" s="514">
        <v>44621</v>
      </c>
      <c r="B26" s="515">
        <v>1337719.3</v>
      </c>
      <c r="C26" s="515">
        <v>13377.19</v>
      </c>
      <c r="D26" s="515">
        <v>1449.2</v>
      </c>
      <c r="E26" s="515">
        <v>14826.39</v>
      </c>
    </row>
    <row r="27" spans="1:5" ht="12.75">
      <c r="A27" s="514">
        <v>44652</v>
      </c>
      <c r="B27" s="515">
        <v>1324342.11</v>
      </c>
      <c r="C27" s="515">
        <v>13377.19</v>
      </c>
      <c r="D27" s="515">
        <v>1434.7</v>
      </c>
      <c r="E27" s="515">
        <v>14811.9</v>
      </c>
    </row>
    <row r="28" spans="1:5" ht="12.75">
      <c r="A28" s="514">
        <v>44682</v>
      </c>
      <c r="B28" s="515">
        <v>1310964.91</v>
      </c>
      <c r="C28" s="515">
        <v>13377.19</v>
      </c>
      <c r="D28" s="515">
        <v>1420.21</v>
      </c>
      <c r="E28" s="515">
        <v>14797.4</v>
      </c>
    </row>
    <row r="29" spans="1:5" ht="12.75">
      <c r="A29" s="514">
        <v>44713</v>
      </c>
      <c r="B29" s="515">
        <v>1297587.72</v>
      </c>
      <c r="C29" s="515">
        <v>13377.19</v>
      </c>
      <c r="D29" s="515">
        <v>1405.72</v>
      </c>
      <c r="E29" s="515">
        <v>14782.91</v>
      </c>
    </row>
    <row r="30" spans="1:5" ht="12.75">
      <c r="A30" s="514">
        <v>44743</v>
      </c>
      <c r="B30" s="515">
        <v>1284210.53</v>
      </c>
      <c r="C30" s="515">
        <v>13377.19</v>
      </c>
      <c r="D30" s="515">
        <v>1391.23</v>
      </c>
      <c r="E30" s="515">
        <v>14768.42</v>
      </c>
    </row>
    <row r="31" spans="1:5" ht="12.75">
      <c r="A31" s="514">
        <v>44774</v>
      </c>
      <c r="B31" s="515">
        <v>1270833.33</v>
      </c>
      <c r="C31" s="515">
        <v>13377.19</v>
      </c>
      <c r="D31" s="515">
        <v>1376.74</v>
      </c>
      <c r="E31" s="515">
        <v>14753.93</v>
      </c>
    </row>
    <row r="32" spans="1:5" ht="12.75">
      <c r="A32" s="514">
        <v>44805</v>
      </c>
      <c r="B32" s="515">
        <v>1257456.14</v>
      </c>
      <c r="C32" s="515">
        <v>13377.19</v>
      </c>
      <c r="D32" s="515">
        <v>1362.24</v>
      </c>
      <c r="E32" s="515">
        <v>14739.44</v>
      </c>
    </row>
    <row r="33" spans="1:5" ht="12.75">
      <c r="A33" s="514">
        <v>44835</v>
      </c>
      <c r="B33" s="515">
        <v>1244078.95</v>
      </c>
      <c r="C33" s="515">
        <v>13377.19</v>
      </c>
      <c r="D33" s="515">
        <v>1347.75</v>
      </c>
      <c r="E33" s="515">
        <v>14724.95</v>
      </c>
    </row>
    <row r="34" spans="1:5" ht="12.75">
      <c r="A34" s="514">
        <v>44866</v>
      </c>
      <c r="B34" s="515">
        <v>1230701.75</v>
      </c>
      <c r="C34" s="515">
        <v>13377.19</v>
      </c>
      <c r="D34" s="515">
        <v>1333.26</v>
      </c>
      <c r="E34" s="515">
        <v>14710.45</v>
      </c>
    </row>
    <row r="35" spans="1:5" ht="12.75">
      <c r="A35" s="514">
        <v>44896</v>
      </c>
      <c r="B35" s="515">
        <v>1217324.56</v>
      </c>
      <c r="C35" s="515">
        <v>13377.19</v>
      </c>
      <c r="D35" s="515">
        <v>1318.77</v>
      </c>
      <c r="E35" s="515">
        <v>14695.96</v>
      </c>
    </row>
    <row r="36" spans="1:5" ht="12.75">
      <c r="A36" s="514"/>
      <c r="B36" s="515"/>
      <c r="C36" s="516">
        <f>SUM(C24:C35)</f>
        <v>160526.28</v>
      </c>
      <c r="D36" s="516">
        <f>SUM(D24:D35)</f>
        <v>16781.69</v>
      </c>
      <c r="E36" s="515"/>
    </row>
    <row r="37" spans="1:5" ht="12.75">
      <c r="A37" s="514">
        <v>44927</v>
      </c>
      <c r="B37" s="515">
        <v>1203947.37</v>
      </c>
      <c r="C37" s="515">
        <v>13377.19</v>
      </c>
      <c r="D37" s="515">
        <v>1304.28</v>
      </c>
      <c r="E37" s="515">
        <v>14681.47</v>
      </c>
    </row>
    <row r="38" spans="1:5" ht="12.75">
      <c r="A38" s="514">
        <v>44958</v>
      </c>
      <c r="B38" s="515">
        <v>1190570.18</v>
      </c>
      <c r="C38" s="515">
        <v>13377.19</v>
      </c>
      <c r="D38" s="515">
        <v>1289.78</v>
      </c>
      <c r="E38" s="515">
        <v>14666.98</v>
      </c>
    </row>
    <row r="39" spans="1:5" ht="12.75">
      <c r="A39" s="514">
        <v>44986</v>
      </c>
      <c r="B39" s="515">
        <v>1177192.98</v>
      </c>
      <c r="C39" s="515">
        <v>13377.19</v>
      </c>
      <c r="D39" s="515">
        <v>1275.29</v>
      </c>
      <c r="E39" s="515">
        <v>14652.49</v>
      </c>
    </row>
    <row r="40" spans="1:5" ht="12.75">
      <c r="A40" s="514">
        <v>45017</v>
      </c>
      <c r="B40" s="515">
        <v>1163815.79</v>
      </c>
      <c r="C40" s="515">
        <v>13377.19</v>
      </c>
      <c r="D40" s="515">
        <v>1260.8</v>
      </c>
      <c r="E40" s="515">
        <v>14637.99</v>
      </c>
    </row>
    <row r="41" spans="1:5" ht="12.75">
      <c r="A41" s="514">
        <v>45047</v>
      </c>
      <c r="B41" s="515">
        <v>1150438.6</v>
      </c>
      <c r="C41" s="515">
        <v>13377.19</v>
      </c>
      <c r="D41" s="515">
        <v>1246.31</v>
      </c>
      <c r="E41" s="515">
        <v>14623.5</v>
      </c>
    </row>
    <row r="42" spans="1:5" ht="12.75">
      <c r="A42" s="514">
        <v>45078</v>
      </c>
      <c r="B42" s="515">
        <v>1137061.4</v>
      </c>
      <c r="C42" s="515">
        <v>13377.19</v>
      </c>
      <c r="D42" s="515">
        <v>1231.82</v>
      </c>
      <c r="E42" s="515">
        <v>14609.01</v>
      </c>
    </row>
    <row r="43" spans="1:5" ht="12.75">
      <c r="A43" s="514">
        <v>45108</v>
      </c>
      <c r="B43" s="515">
        <v>1123684.21</v>
      </c>
      <c r="C43" s="515">
        <v>13377.19</v>
      </c>
      <c r="D43" s="515">
        <v>1217.32</v>
      </c>
      <c r="E43" s="515">
        <v>14594.52</v>
      </c>
    </row>
    <row r="44" spans="1:5" ht="12.75">
      <c r="A44" s="514">
        <v>45139</v>
      </c>
      <c r="B44" s="515">
        <v>1110307.02</v>
      </c>
      <c r="C44" s="515">
        <v>13377.19</v>
      </c>
      <c r="D44" s="515">
        <v>1202.83</v>
      </c>
      <c r="E44" s="515">
        <v>14580.03</v>
      </c>
    </row>
    <row r="45" spans="1:5" ht="12.75">
      <c r="A45" s="514">
        <v>45170</v>
      </c>
      <c r="B45" s="515">
        <v>1096929.82</v>
      </c>
      <c r="C45" s="515">
        <v>13377.19</v>
      </c>
      <c r="D45" s="515">
        <v>1188.34</v>
      </c>
      <c r="E45" s="515">
        <v>14565.53</v>
      </c>
    </row>
    <row r="46" spans="1:5" ht="12.75">
      <c r="A46" s="514">
        <v>45200</v>
      </c>
      <c r="B46" s="515">
        <v>1083552.63</v>
      </c>
      <c r="C46" s="515">
        <v>13377.19</v>
      </c>
      <c r="D46" s="515">
        <v>1173.85</v>
      </c>
      <c r="E46" s="515">
        <v>14551.04</v>
      </c>
    </row>
    <row r="47" spans="1:5" ht="12.75">
      <c r="A47" s="514">
        <v>45231</v>
      </c>
      <c r="B47" s="515">
        <v>1070175.44</v>
      </c>
      <c r="C47" s="515">
        <v>13377.19</v>
      </c>
      <c r="D47" s="515">
        <v>1159.36</v>
      </c>
      <c r="E47" s="515">
        <v>14536.55</v>
      </c>
    </row>
    <row r="48" spans="1:5" ht="12.75">
      <c r="A48" s="514">
        <v>45261</v>
      </c>
      <c r="B48" s="515">
        <v>1056798.25</v>
      </c>
      <c r="C48" s="515">
        <v>13377.19</v>
      </c>
      <c r="D48" s="515">
        <v>1144.86</v>
      </c>
      <c r="E48" s="515">
        <v>14522.06</v>
      </c>
    </row>
    <row r="49" spans="1:5" ht="12.75">
      <c r="A49" s="514"/>
      <c r="B49" s="515"/>
      <c r="C49" s="516">
        <f>SUM(C37:C48)</f>
        <v>160526.28</v>
      </c>
      <c r="D49" s="516">
        <f>SUM(D37:D48)</f>
        <v>14694.84</v>
      </c>
      <c r="E49" s="515"/>
    </row>
    <row r="50" spans="1:5" ht="12.75">
      <c r="A50" s="514">
        <v>45292</v>
      </c>
      <c r="B50" s="515">
        <v>1043421.05</v>
      </c>
      <c r="C50" s="515">
        <v>13377.19</v>
      </c>
      <c r="D50" s="515">
        <v>1130.37</v>
      </c>
      <c r="E50" s="515">
        <v>14507.57</v>
      </c>
    </row>
    <row r="51" spans="1:5" ht="12.75">
      <c r="A51" s="514">
        <v>45323</v>
      </c>
      <c r="B51" s="515">
        <v>1030043.86</v>
      </c>
      <c r="C51" s="515">
        <v>13377.19</v>
      </c>
      <c r="D51" s="515">
        <v>1115.88</v>
      </c>
      <c r="E51" s="515">
        <v>14493.07</v>
      </c>
    </row>
    <row r="52" spans="1:5" ht="12.75">
      <c r="A52" s="514">
        <v>45352</v>
      </c>
      <c r="B52" s="515">
        <v>1016666.67</v>
      </c>
      <c r="C52" s="515">
        <v>13377.19</v>
      </c>
      <c r="D52" s="515">
        <v>1101.39</v>
      </c>
      <c r="E52" s="515">
        <v>14478.58</v>
      </c>
    </row>
    <row r="53" spans="1:5" ht="12.75">
      <c r="A53" s="514">
        <v>45383</v>
      </c>
      <c r="B53" s="515">
        <v>1003289.47</v>
      </c>
      <c r="C53" s="515">
        <v>13377.19</v>
      </c>
      <c r="D53" s="515">
        <v>1086.9</v>
      </c>
      <c r="E53" s="515">
        <v>14464.09</v>
      </c>
    </row>
    <row r="54" spans="1:5" ht="12.75">
      <c r="A54" s="514">
        <v>45413</v>
      </c>
      <c r="B54" s="515">
        <v>989912.28</v>
      </c>
      <c r="C54" s="515">
        <v>13377.19</v>
      </c>
      <c r="D54" s="515">
        <v>1072.4</v>
      </c>
      <c r="E54" s="515">
        <v>14449.6</v>
      </c>
    </row>
    <row r="55" spans="1:5" ht="12.75">
      <c r="A55" s="514">
        <v>45444</v>
      </c>
      <c r="B55" s="515">
        <v>976535.09</v>
      </c>
      <c r="C55" s="515">
        <v>13377.19</v>
      </c>
      <c r="D55" s="515">
        <v>1057.91</v>
      </c>
      <c r="E55" s="515">
        <v>14435.11</v>
      </c>
    </row>
    <row r="56" spans="1:5" ht="12.75">
      <c r="A56" s="514">
        <v>45474</v>
      </c>
      <c r="B56" s="515">
        <v>963157.89</v>
      </c>
      <c r="C56" s="515">
        <v>13377.19</v>
      </c>
      <c r="D56" s="515">
        <v>1043.42</v>
      </c>
      <c r="E56" s="515">
        <v>14420.61</v>
      </c>
    </row>
    <row r="57" spans="1:5" ht="12.75">
      <c r="A57" s="514">
        <v>45505</v>
      </c>
      <c r="B57" s="515">
        <v>949780.7</v>
      </c>
      <c r="C57" s="515">
        <v>13377.19</v>
      </c>
      <c r="D57" s="515">
        <v>1028.93</v>
      </c>
      <c r="E57" s="515">
        <v>14406.12</v>
      </c>
    </row>
    <row r="58" spans="1:5" ht="12.75">
      <c r="A58" s="514">
        <v>45536</v>
      </c>
      <c r="B58" s="515">
        <v>936403.51</v>
      </c>
      <c r="C58" s="515">
        <v>13377.19</v>
      </c>
      <c r="D58" s="515">
        <v>1014.44</v>
      </c>
      <c r="E58" s="515">
        <v>14391.63</v>
      </c>
    </row>
    <row r="59" spans="1:5" ht="12.75">
      <c r="A59" s="514">
        <v>45566</v>
      </c>
      <c r="B59" s="515">
        <v>923026.32</v>
      </c>
      <c r="C59" s="515">
        <v>13377.19</v>
      </c>
      <c r="D59" s="515">
        <v>999.95</v>
      </c>
      <c r="E59" s="515">
        <v>14377.14</v>
      </c>
    </row>
    <row r="60" spans="1:5" ht="12.75">
      <c r="A60" s="514">
        <v>45597</v>
      </c>
      <c r="B60" s="515">
        <v>909649.12</v>
      </c>
      <c r="C60" s="515">
        <v>13377.19</v>
      </c>
      <c r="D60" s="515">
        <v>985.45</v>
      </c>
      <c r="E60" s="515">
        <v>14362.65</v>
      </c>
    </row>
    <row r="61" spans="1:5" ht="12.75">
      <c r="A61" s="514">
        <v>45627</v>
      </c>
      <c r="B61" s="515">
        <v>896271.93</v>
      </c>
      <c r="C61" s="515">
        <v>13377.19</v>
      </c>
      <c r="D61" s="515">
        <v>970.96</v>
      </c>
      <c r="E61" s="515">
        <v>14348.15</v>
      </c>
    </row>
    <row r="62" spans="1:5" ht="12.75">
      <c r="A62" s="514"/>
      <c r="B62" s="515"/>
      <c r="C62" s="516">
        <f>SUM(C50:C61)</f>
        <v>160526.28</v>
      </c>
      <c r="D62" s="516">
        <f>SUM(D50:D61)</f>
        <v>12608.000000000004</v>
      </c>
      <c r="E62" s="515"/>
    </row>
    <row r="63" spans="1:5" ht="12.75">
      <c r="A63" s="514">
        <v>45658</v>
      </c>
      <c r="B63" s="515">
        <v>882894.74</v>
      </c>
      <c r="C63" s="515">
        <v>13377.19</v>
      </c>
      <c r="D63" s="515">
        <v>956.47</v>
      </c>
      <c r="E63" s="515">
        <v>14333.66</v>
      </c>
    </row>
    <row r="64" spans="1:5" ht="12.75">
      <c r="A64" s="514">
        <v>45689</v>
      </c>
      <c r="B64" s="515">
        <v>869517.54</v>
      </c>
      <c r="C64" s="515">
        <v>13377.19</v>
      </c>
      <c r="D64" s="515">
        <v>941.98</v>
      </c>
      <c r="E64" s="515">
        <v>14319.17</v>
      </c>
    </row>
    <row r="65" spans="1:5" ht="12.75">
      <c r="A65" s="514">
        <v>45717</v>
      </c>
      <c r="B65" s="515">
        <v>856140.35</v>
      </c>
      <c r="C65" s="515">
        <v>13377.19</v>
      </c>
      <c r="D65" s="515">
        <v>927.49</v>
      </c>
      <c r="E65" s="515">
        <v>14304.68</v>
      </c>
    </row>
    <row r="66" spans="1:5" ht="12.75">
      <c r="A66" s="514">
        <v>45748</v>
      </c>
      <c r="B66" s="515">
        <v>842763.16</v>
      </c>
      <c r="C66" s="515">
        <v>13377.19</v>
      </c>
      <c r="D66" s="515">
        <v>912.99</v>
      </c>
      <c r="E66" s="515">
        <v>14290.19</v>
      </c>
    </row>
    <row r="67" spans="1:5" ht="12.75">
      <c r="A67" s="514">
        <v>45778</v>
      </c>
      <c r="B67" s="515">
        <v>829385.96</v>
      </c>
      <c r="C67" s="515">
        <v>13377.19</v>
      </c>
      <c r="D67" s="515">
        <v>898.5</v>
      </c>
      <c r="E67" s="515">
        <v>14275.69</v>
      </c>
    </row>
    <row r="68" spans="1:5" ht="12.75">
      <c r="A68" s="514">
        <v>45809</v>
      </c>
      <c r="B68" s="515">
        <v>816008.77</v>
      </c>
      <c r="C68" s="515">
        <v>13377.19</v>
      </c>
      <c r="D68" s="515">
        <v>884.01</v>
      </c>
      <c r="E68" s="515">
        <v>14261.2</v>
      </c>
    </row>
    <row r="69" spans="1:5" ht="12.75">
      <c r="A69" s="514">
        <v>45839</v>
      </c>
      <c r="B69" s="515">
        <v>802631.58</v>
      </c>
      <c r="C69" s="515">
        <v>13377.19</v>
      </c>
      <c r="D69" s="515">
        <v>869.52</v>
      </c>
      <c r="E69" s="515">
        <v>14246.71</v>
      </c>
    </row>
    <row r="70" spans="1:5" ht="12.75">
      <c r="A70" s="514">
        <v>45870</v>
      </c>
      <c r="B70" s="515">
        <v>789254.39</v>
      </c>
      <c r="C70" s="515">
        <v>13377.19</v>
      </c>
      <c r="D70" s="515">
        <v>855.03</v>
      </c>
      <c r="E70" s="515">
        <v>14232.22</v>
      </c>
    </row>
    <row r="71" spans="1:5" ht="12.75">
      <c r="A71" s="514">
        <v>45901</v>
      </c>
      <c r="B71" s="515">
        <v>775877.19</v>
      </c>
      <c r="C71" s="515">
        <v>13377.19</v>
      </c>
      <c r="D71" s="515">
        <v>840.53</v>
      </c>
      <c r="E71" s="515">
        <v>14217.73</v>
      </c>
    </row>
    <row r="72" spans="1:5" ht="12.75">
      <c r="A72" s="514">
        <v>45931</v>
      </c>
      <c r="B72" s="515">
        <v>762500</v>
      </c>
      <c r="C72" s="515">
        <v>13377.19</v>
      </c>
      <c r="D72" s="515">
        <v>826.04</v>
      </c>
      <c r="E72" s="515">
        <v>14203.23</v>
      </c>
    </row>
    <row r="73" spans="1:5" ht="12.75">
      <c r="A73" s="514">
        <v>45962</v>
      </c>
      <c r="B73" s="515">
        <v>749122.81</v>
      </c>
      <c r="C73" s="515">
        <v>13377.19</v>
      </c>
      <c r="D73" s="515">
        <v>811.55</v>
      </c>
      <c r="E73" s="515">
        <v>14188.74</v>
      </c>
    </row>
    <row r="74" spans="1:5" ht="12.75">
      <c r="A74" s="514">
        <v>45992</v>
      </c>
      <c r="B74" s="515">
        <v>735745.61</v>
      </c>
      <c r="C74" s="515">
        <v>13377.19</v>
      </c>
      <c r="D74" s="515">
        <v>797.06</v>
      </c>
      <c r="E74" s="515">
        <v>14174.25</v>
      </c>
    </row>
    <row r="75" spans="1:5" ht="12.75">
      <c r="A75" s="514">
        <v>46023</v>
      </c>
      <c r="B75" s="515">
        <v>722368.42</v>
      </c>
      <c r="C75" s="515">
        <v>13377.19</v>
      </c>
      <c r="D75" s="515">
        <v>782.57</v>
      </c>
      <c r="E75" s="515">
        <v>14159.76</v>
      </c>
    </row>
    <row r="76" spans="1:5" ht="12.75">
      <c r="A76" s="514">
        <v>46054</v>
      </c>
      <c r="B76" s="515">
        <v>708991.23</v>
      </c>
      <c r="C76" s="515">
        <v>13377.19</v>
      </c>
      <c r="D76" s="515">
        <v>768.07</v>
      </c>
      <c r="E76" s="515">
        <v>14145.27</v>
      </c>
    </row>
    <row r="77" spans="1:5" ht="12.75">
      <c r="A77" s="514">
        <v>46082</v>
      </c>
      <c r="B77" s="515">
        <v>695614.04</v>
      </c>
      <c r="C77" s="515">
        <v>13377.19</v>
      </c>
      <c r="D77" s="515">
        <v>753.58</v>
      </c>
      <c r="E77" s="515">
        <v>14130.77</v>
      </c>
    </row>
    <row r="78" spans="1:5" ht="12.75">
      <c r="A78" s="514">
        <v>46113</v>
      </c>
      <c r="B78" s="515">
        <v>682236.84</v>
      </c>
      <c r="C78" s="515">
        <v>13377.19</v>
      </c>
      <c r="D78" s="515">
        <v>739.09</v>
      </c>
      <c r="E78" s="515">
        <v>14116.28</v>
      </c>
    </row>
    <row r="79" spans="1:5" ht="12.75">
      <c r="A79" s="514">
        <v>46143</v>
      </c>
      <c r="B79" s="515">
        <v>668859.65</v>
      </c>
      <c r="C79" s="515">
        <v>13377.19</v>
      </c>
      <c r="D79" s="515">
        <v>724.6</v>
      </c>
      <c r="E79" s="515">
        <v>14101.79</v>
      </c>
    </row>
    <row r="80" spans="1:5" ht="12.75">
      <c r="A80" s="514">
        <v>46174</v>
      </c>
      <c r="B80" s="515">
        <v>655482.46</v>
      </c>
      <c r="C80" s="515">
        <v>13377.19</v>
      </c>
      <c r="D80" s="515">
        <v>710.11</v>
      </c>
      <c r="E80" s="515">
        <v>14087.3</v>
      </c>
    </row>
    <row r="81" spans="1:5" ht="12.75">
      <c r="A81" s="514">
        <v>46204</v>
      </c>
      <c r="B81" s="515">
        <v>642105.26</v>
      </c>
      <c r="C81" s="515">
        <v>13377.19</v>
      </c>
      <c r="D81" s="515">
        <v>695.61</v>
      </c>
      <c r="E81" s="515">
        <v>14072.81</v>
      </c>
    </row>
    <row r="82" spans="1:5" ht="12.75">
      <c r="A82" s="514">
        <v>46235</v>
      </c>
      <c r="B82" s="515">
        <v>628728.07</v>
      </c>
      <c r="C82" s="515">
        <v>13377.19</v>
      </c>
      <c r="D82" s="515">
        <v>681.12</v>
      </c>
      <c r="E82" s="515">
        <v>14058.32</v>
      </c>
    </row>
    <row r="83" spans="1:5" ht="12.75">
      <c r="A83" s="514">
        <v>46266</v>
      </c>
      <c r="B83" s="515">
        <v>615350.88</v>
      </c>
      <c r="C83" s="515">
        <v>13377.19</v>
      </c>
      <c r="D83" s="515">
        <v>666.63</v>
      </c>
      <c r="E83" s="515">
        <v>14043.82</v>
      </c>
    </row>
    <row r="84" spans="1:5" ht="12.75">
      <c r="A84" s="514">
        <v>46296</v>
      </c>
      <c r="B84" s="515">
        <v>601973.68</v>
      </c>
      <c r="C84" s="515">
        <v>13377.19</v>
      </c>
      <c r="D84" s="515">
        <v>652.14</v>
      </c>
      <c r="E84" s="515">
        <v>14029.33</v>
      </c>
    </row>
    <row r="85" spans="1:5" ht="12.75">
      <c r="A85" s="514">
        <v>46327</v>
      </c>
      <c r="B85" s="515">
        <v>588596.49</v>
      </c>
      <c r="C85" s="515">
        <v>13377.19</v>
      </c>
      <c r="D85" s="515">
        <v>637.65</v>
      </c>
      <c r="E85" s="515">
        <v>14014.84</v>
      </c>
    </row>
    <row r="86" spans="1:5" ht="12.75">
      <c r="A86" s="514">
        <v>46357</v>
      </c>
      <c r="B86" s="515">
        <v>575219.3</v>
      </c>
      <c r="C86" s="515">
        <v>13377.19</v>
      </c>
      <c r="D86" s="515">
        <v>623.15</v>
      </c>
      <c r="E86" s="515">
        <v>14000.35</v>
      </c>
    </row>
    <row r="87" spans="1:5" ht="12.75">
      <c r="A87" s="514">
        <v>46388</v>
      </c>
      <c r="B87" s="515">
        <v>561842.11</v>
      </c>
      <c r="C87" s="515">
        <v>13377.19</v>
      </c>
      <c r="D87" s="515">
        <v>608.66</v>
      </c>
      <c r="E87" s="515">
        <v>13985.86</v>
      </c>
    </row>
    <row r="88" spans="1:5" ht="12.75">
      <c r="A88" s="514">
        <v>46419</v>
      </c>
      <c r="B88" s="515">
        <v>548464.91</v>
      </c>
      <c r="C88" s="515">
        <v>13377.19</v>
      </c>
      <c r="D88" s="515">
        <v>594.17</v>
      </c>
      <c r="E88" s="515">
        <v>13971.36</v>
      </c>
    </row>
    <row r="89" spans="1:5" ht="12.75">
      <c r="A89" s="514">
        <v>46447</v>
      </c>
      <c r="B89" s="515">
        <v>535087.72</v>
      </c>
      <c r="C89" s="515">
        <v>13377.19</v>
      </c>
      <c r="D89" s="515">
        <v>579.68</v>
      </c>
      <c r="E89" s="515">
        <v>13956.87</v>
      </c>
    </row>
    <row r="90" spans="1:5" ht="12.75">
      <c r="A90" s="514">
        <v>46478</v>
      </c>
      <c r="B90" s="515">
        <v>521710.53</v>
      </c>
      <c r="C90" s="515">
        <v>13377.19</v>
      </c>
      <c r="D90" s="515">
        <v>565.19</v>
      </c>
      <c r="E90" s="515">
        <v>13942.38</v>
      </c>
    </row>
    <row r="91" spans="1:5" ht="12.75">
      <c r="A91" s="514">
        <v>46508</v>
      </c>
      <c r="B91" s="515">
        <v>508333.33</v>
      </c>
      <c r="C91" s="515">
        <v>13377.19</v>
      </c>
      <c r="D91" s="515">
        <v>550.69</v>
      </c>
      <c r="E91" s="515">
        <v>13927.89</v>
      </c>
    </row>
    <row r="92" spans="1:5" ht="12.75">
      <c r="A92" s="514">
        <v>46539</v>
      </c>
      <c r="B92" s="515">
        <v>494956.14</v>
      </c>
      <c r="C92" s="515">
        <v>13377.19</v>
      </c>
      <c r="D92" s="515">
        <v>536.2</v>
      </c>
      <c r="E92" s="515">
        <v>13913.4</v>
      </c>
    </row>
    <row r="93" spans="1:5" ht="12.75">
      <c r="A93" s="514">
        <v>46569</v>
      </c>
      <c r="B93" s="515">
        <v>481578.95</v>
      </c>
      <c r="C93" s="515">
        <v>13377.19</v>
      </c>
      <c r="D93" s="515">
        <v>521.71</v>
      </c>
      <c r="E93" s="515">
        <v>13898.9</v>
      </c>
    </row>
    <row r="94" spans="1:5" ht="12.75">
      <c r="A94" s="514">
        <v>46600</v>
      </c>
      <c r="B94" s="515">
        <v>468201.75</v>
      </c>
      <c r="C94" s="515">
        <v>13377.19</v>
      </c>
      <c r="D94" s="515">
        <v>507.22</v>
      </c>
      <c r="E94" s="515">
        <v>13884.41</v>
      </c>
    </row>
    <row r="95" spans="1:5" ht="12.75">
      <c r="A95" s="514">
        <v>46631</v>
      </c>
      <c r="B95" s="515">
        <v>454824.56</v>
      </c>
      <c r="C95" s="515">
        <v>13377.19</v>
      </c>
      <c r="D95" s="515">
        <v>492.73</v>
      </c>
      <c r="E95" s="515">
        <v>13869.92</v>
      </c>
    </row>
    <row r="96" spans="1:5" ht="12.75">
      <c r="A96" s="514">
        <v>46661</v>
      </c>
      <c r="B96" s="515">
        <v>441447.37</v>
      </c>
      <c r="C96" s="515">
        <v>13377.19</v>
      </c>
      <c r="D96" s="515">
        <v>478.23</v>
      </c>
      <c r="E96" s="515">
        <v>13855.43</v>
      </c>
    </row>
    <row r="97" spans="1:5" ht="12.75">
      <c r="A97" s="514">
        <v>46692</v>
      </c>
      <c r="B97" s="515">
        <v>428070.18</v>
      </c>
      <c r="C97" s="515">
        <v>13377.19</v>
      </c>
      <c r="D97" s="515">
        <v>463.74</v>
      </c>
      <c r="E97" s="515">
        <v>13840.94</v>
      </c>
    </row>
    <row r="98" spans="1:5" ht="12.75">
      <c r="A98" s="514">
        <v>46722</v>
      </c>
      <c r="B98" s="515">
        <v>414692.98</v>
      </c>
      <c r="C98" s="515">
        <v>13377.19</v>
      </c>
      <c r="D98" s="515">
        <v>449.25</v>
      </c>
      <c r="E98" s="515">
        <v>13826.44</v>
      </c>
    </row>
    <row r="99" spans="1:5" ht="12.75">
      <c r="A99" s="514">
        <v>46753</v>
      </c>
      <c r="B99" s="515">
        <v>401315.79</v>
      </c>
      <c r="C99" s="515">
        <v>13377.19</v>
      </c>
      <c r="D99" s="515">
        <v>434.76</v>
      </c>
      <c r="E99" s="515">
        <v>13811.95</v>
      </c>
    </row>
    <row r="100" spans="1:5" ht="12.75">
      <c r="A100" s="514">
        <v>46784</v>
      </c>
      <c r="B100" s="515">
        <v>387938.6</v>
      </c>
      <c r="C100" s="515">
        <v>13377.19</v>
      </c>
      <c r="D100" s="515">
        <v>420.27</v>
      </c>
      <c r="E100" s="515">
        <v>13797.46</v>
      </c>
    </row>
    <row r="101" spans="1:5" ht="12.75">
      <c r="A101" s="514">
        <v>46813</v>
      </c>
      <c r="B101" s="515">
        <v>374561.4</v>
      </c>
      <c r="C101" s="515">
        <v>13377.19</v>
      </c>
      <c r="D101" s="515">
        <v>405.77</v>
      </c>
      <c r="E101" s="515">
        <v>13782.97</v>
      </c>
    </row>
    <row r="102" spans="1:5" ht="12.75">
      <c r="A102" s="514">
        <v>46844</v>
      </c>
      <c r="B102" s="515">
        <v>361184.21</v>
      </c>
      <c r="C102" s="515">
        <v>13377.19</v>
      </c>
      <c r="D102" s="515">
        <v>391.28</v>
      </c>
      <c r="E102" s="515">
        <v>13768.48</v>
      </c>
    </row>
    <row r="103" spans="1:5" ht="12.75">
      <c r="A103" s="514">
        <v>46874</v>
      </c>
      <c r="B103" s="515">
        <v>347807.02</v>
      </c>
      <c r="C103" s="515">
        <v>13377.19</v>
      </c>
      <c r="D103" s="515">
        <v>376.79</v>
      </c>
      <c r="E103" s="515">
        <v>13753.98</v>
      </c>
    </row>
    <row r="104" spans="1:5" ht="12.75">
      <c r="A104" s="514">
        <v>46905</v>
      </c>
      <c r="B104" s="515">
        <v>334429.82</v>
      </c>
      <c r="C104" s="515">
        <v>13377.19</v>
      </c>
      <c r="D104" s="515">
        <v>362.3</v>
      </c>
      <c r="E104" s="515">
        <v>13739.49</v>
      </c>
    </row>
    <row r="105" spans="1:5" ht="12.75">
      <c r="A105" s="514">
        <v>46935</v>
      </c>
      <c r="B105" s="515">
        <v>321052.63</v>
      </c>
      <c r="C105" s="515">
        <v>13377.19</v>
      </c>
      <c r="D105" s="515">
        <v>347.81</v>
      </c>
      <c r="E105" s="515">
        <v>13725</v>
      </c>
    </row>
    <row r="106" spans="1:5" ht="12.75">
      <c r="A106" s="514">
        <v>46966</v>
      </c>
      <c r="B106" s="515">
        <v>307675.44</v>
      </c>
      <c r="C106" s="515">
        <v>13377.19</v>
      </c>
      <c r="D106" s="515">
        <v>333.32</v>
      </c>
      <c r="E106" s="515">
        <v>13710.51</v>
      </c>
    </row>
    <row r="107" spans="1:5" ht="12.75">
      <c r="A107" s="514">
        <v>46997</v>
      </c>
      <c r="B107" s="515">
        <v>294298.25</v>
      </c>
      <c r="C107" s="515">
        <v>13377.19</v>
      </c>
      <c r="D107" s="515">
        <v>318.82</v>
      </c>
      <c r="E107" s="515">
        <v>13696.02</v>
      </c>
    </row>
    <row r="108" spans="1:5" ht="12.75">
      <c r="A108" s="514">
        <v>47027</v>
      </c>
      <c r="B108" s="515">
        <v>280921.05</v>
      </c>
      <c r="C108" s="515">
        <v>13377.19</v>
      </c>
      <c r="D108" s="515">
        <v>304.33</v>
      </c>
      <c r="E108" s="515">
        <v>13681.52</v>
      </c>
    </row>
    <row r="109" spans="1:5" ht="12.75">
      <c r="A109" s="514">
        <v>47058</v>
      </c>
      <c r="B109" s="515">
        <v>267543.86</v>
      </c>
      <c r="C109" s="515">
        <v>13377.19</v>
      </c>
      <c r="D109" s="515">
        <v>289.84</v>
      </c>
      <c r="E109" s="515">
        <v>13667.03</v>
      </c>
    </row>
    <row r="110" spans="1:5" ht="12.75">
      <c r="A110" s="514">
        <v>47088</v>
      </c>
      <c r="B110" s="515">
        <v>254166.67</v>
      </c>
      <c r="C110" s="515">
        <v>13377.19</v>
      </c>
      <c r="D110" s="515">
        <v>275.35</v>
      </c>
      <c r="E110" s="515">
        <v>13652.54</v>
      </c>
    </row>
    <row r="111" spans="1:5" ht="12.75">
      <c r="A111" s="514">
        <v>47119</v>
      </c>
      <c r="B111" s="515">
        <v>240789.47</v>
      </c>
      <c r="C111" s="515">
        <v>13377.19</v>
      </c>
      <c r="D111" s="515">
        <v>260.86</v>
      </c>
      <c r="E111" s="515">
        <v>13638.05</v>
      </c>
    </row>
    <row r="112" spans="1:5" ht="12.75">
      <c r="A112" s="514">
        <v>47150</v>
      </c>
      <c r="B112" s="515">
        <v>227412.28</v>
      </c>
      <c r="C112" s="515">
        <v>13377.19</v>
      </c>
      <c r="D112" s="515">
        <v>246.36</v>
      </c>
      <c r="E112" s="515">
        <v>13623.56</v>
      </c>
    </row>
    <row r="113" spans="1:5" ht="12.75">
      <c r="A113" s="514">
        <v>47178</v>
      </c>
      <c r="B113" s="515">
        <v>214035.09</v>
      </c>
      <c r="C113" s="515">
        <v>13377.19</v>
      </c>
      <c r="D113" s="515">
        <v>231.87</v>
      </c>
      <c r="E113" s="515">
        <v>13609.06</v>
      </c>
    </row>
    <row r="114" spans="1:5" ht="12.75">
      <c r="A114" s="514">
        <v>47209</v>
      </c>
      <c r="B114" s="515">
        <v>200657.89</v>
      </c>
      <c r="C114" s="515">
        <v>13377.19</v>
      </c>
      <c r="D114" s="515">
        <v>217.38</v>
      </c>
      <c r="E114" s="515">
        <v>13594.57</v>
      </c>
    </row>
    <row r="115" spans="1:5" ht="12.75">
      <c r="A115" s="514">
        <v>47239</v>
      </c>
      <c r="B115" s="515">
        <v>187280.7</v>
      </c>
      <c r="C115" s="515">
        <v>13377.19</v>
      </c>
      <c r="D115" s="515">
        <v>202.89</v>
      </c>
      <c r="E115" s="515">
        <v>13580.08</v>
      </c>
    </row>
    <row r="116" spans="1:5" ht="12.75">
      <c r="A116" s="514">
        <v>47270</v>
      </c>
      <c r="B116" s="515">
        <v>173903.51</v>
      </c>
      <c r="C116" s="515">
        <v>13377.19</v>
      </c>
      <c r="D116" s="515">
        <v>188.4</v>
      </c>
      <c r="E116" s="515">
        <v>13565.59</v>
      </c>
    </row>
    <row r="117" spans="1:5" ht="12.75">
      <c r="A117" s="514">
        <v>47300</v>
      </c>
      <c r="B117" s="515">
        <v>160526.32</v>
      </c>
      <c r="C117" s="515">
        <v>13377.19</v>
      </c>
      <c r="D117" s="515">
        <v>173.9</v>
      </c>
      <c r="E117" s="515">
        <v>13551.1</v>
      </c>
    </row>
    <row r="118" spans="1:5" ht="12.75">
      <c r="A118" s="514">
        <v>47331</v>
      </c>
      <c r="B118" s="515">
        <v>147149.12</v>
      </c>
      <c r="C118" s="515">
        <v>13377.19</v>
      </c>
      <c r="D118" s="515">
        <v>159.41</v>
      </c>
      <c r="E118" s="515">
        <v>13536.6</v>
      </c>
    </row>
    <row r="119" spans="1:5" ht="12.75">
      <c r="A119" s="514">
        <v>47362</v>
      </c>
      <c r="B119" s="515">
        <v>133771.93</v>
      </c>
      <c r="C119" s="515">
        <v>13377.19</v>
      </c>
      <c r="D119" s="515">
        <v>144.92</v>
      </c>
      <c r="E119" s="515">
        <v>13522.11</v>
      </c>
    </row>
    <row r="120" spans="1:5" ht="12.75">
      <c r="A120" s="514">
        <v>47392</v>
      </c>
      <c r="B120" s="515">
        <v>120394.74</v>
      </c>
      <c r="C120" s="515">
        <v>13377.19</v>
      </c>
      <c r="D120" s="515">
        <v>130.43</v>
      </c>
      <c r="E120" s="515">
        <v>13507.62</v>
      </c>
    </row>
    <row r="121" spans="1:5" ht="12.75">
      <c r="A121" s="514">
        <v>47423</v>
      </c>
      <c r="B121" s="515">
        <v>107017.54</v>
      </c>
      <c r="C121" s="515">
        <v>13377.19</v>
      </c>
      <c r="D121" s="515">
        <v>115.94</v>
      </c>
      <c r="E121" s="515">
        <v>13493.13</v>
      </c>
    </row>
    <row r="122" spans="1:5" ht="12.75">
      <c r="A122" s="514">
        <v>47453</v>
      </c>
      <c r="B122" s="515">
        <v>93640.35</v>
      </c>
      <c r="C122" s="515">
        <v>13377.19</v>
      </c>
      <c r="D122" s="515">
        <v>101.44</v>
      </c>
      <c r="E122" s="515">
        <v>13478.64</v>
      </c>
    </row>
    <row r="123" spans="1:5" ht="12.75">
      <c r="A123" s="514">
        <v>47484</v>
      </c>
      <c r="B123" s="515">
        <v>80263.16</v>
      </c>
      <c r="C123" s="515">
        <v>13377.19</v>
      </c>
      <c r="D123" s="515">
        <v>86.95</v>
      </c>
      <c r="E123" s="515">
        <v>13464.14</v>
      </c>
    </row>
    <row r="124" spans="1:5" ht="12.75">
      <c r="A124" s="514">
        <v>47515</v>
      </c>
      <c r="B124" s="515">
        <v>66885.96</v>
      </c>
      <c r="C124" s="515">
        <v>13377.19</v>
      </c>
      <c r="D124" s="515">
        <v>72.46</v>
      </c>
      <c r="E124" s="515">
        <v>13449.65</v>
      </c>
    </row>
    <row r="125" spans="1:5" ht="12.75">
      <c r="A125" s="514">
        <v>47543</v>
      </c>
      <c r="B125" s="515">
        <v>53508.77</v>
      </c>
      <c r="C125" s="515">
        <v>13377.19</v>
      </c>
      <c r="D125" s="515">
        <v>57.97</v>
      </c>
      <c r="E125" s="515">
        <v>13435.16</v>
      </c>
    </row>
    <row r="126" spans="1:5" ht="12.75">
      <c r="A126" s="514">
        <v>47574</v>
      </c>
      <c r="B126" s="515">
        <v>40131.58</v>
      </c>
      <c r="C126" s="515">
        <v>13377.19</v>
      </c>
      <c r="D126" s="515">
        <v>43.48</v>
      </c>
      <c r="E126" s="515">
        <v>13420.67</v>
      </c>
    </row>
    <row r="127" spans="1:5" ht="12.75">
      <c r="A127" s="514">
        <v>47604</v>
      </c>
      <c r="B127" s="515">
        <v>26754.39</v>
      </c>
      <c r="C127" s="515">
        <v>13377.19</v>
      </c>
      <c r="D127" s="515">
        <v>28.98</v>
      </c>
      <c r="E127" s="515">
        <v>13406.18</v>
      </c>
    </row>
    <row r="128" spans="1:5" ht="12.75">
      <c r="A128" s="514">
        <v>47635</v>
      </c>
      <c r="B128" s="515">
        <v>13377.19</v>
      </c>
      <c r="C128" s="515">
        <v>13377.19</v>
      </c>
      <c r="D128" s="515">
        <v>14.49</v>
      </c>
      <c r="E128" s="515">
        <v>13391.68</v>
      </c>
    </row>
    <row r="129" ht="12.75">
      <c r="C129">
        <f>SUM(C123:C128)</f>
        <v>80263.14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0">
      <selection activeCell="C57" sqref="C57:D57"/>
    </sheetView>
  </sheetViews>
  <sheetFormatPr defaultColWidth="9.140625" defaultRowHeight="12.75"/>
  <cols>
    <col min="1" max="1" width="12.00390625" style="0" customWidth="1"/>
    <col min="2" max="2" width="13.421875" style="0" customWidth="1"/>
    <col min="3" max="3" width="11.140625" style="0" customWidth="1"/>
  </cols>
  <sheetData>
    <row r="1" spans="1:5" ht="28.5">
      <c r="A1" s="517" t="s">
        <v>518</v>
      </c>
      <c r="B1" s="518" t="s">
        <v>523</v>
      </c>
      <c r="C1" s="518" t="s">
        <v>524</v>
      </c>
      <c r="D1" s="518" t="s">
        <v>525</v>
      </c>
      <c r="E1" s="518" t="s">
        <v>526</v>
      </c>
    </row>
    <row r="2" spans="1:5" ht="15" thickBot="1">
      <c r="A2" s="519">
        <v>44114</v>
      </c>
      <c r="B2" s="520" t="s">
        <v>527</v>
      </c>
      <c r="C2" s="520">
        <v>0</v>
      </c>
      <c r="D2" s="520">
        <v>206.34</v>
      </c>
      <c r="E2" s="520">
        <v>206.34</v>
      </c>
    </row>
    <row r="3" spans="1:5" ht="15" thickBot="1">
      <c r="A3" s="521">
        <v>44145</v>
      </c>
      <c r="B3" s="522" t="s">
        <v>527</v>
      </c>
      <c r="C3" s="522">
        <v>0</v>
      </c>
      <c r="D3" s="522">
        <v>336.66</v>
      </c>
      <c r="E3" s="522">
        <v>336.66</v>
      </c>
    </row>
    <row r="4" spans="1:5" ht="15" thickBot="1">
      <c r="A4" s="521">
        <v>44175</v>
      </c>
      <c r="B4" s="522" t="s">
        <v>527</v>
      </c>
      <c r="C4" s="522" t="s">
        <v>528</v>
      </c>
      <c r="D4" s="522">
        <v>325.8</v>
      </c>
      <c r="E4" s="522" t="s">
        <v>529</v>
      </c>
    </row>
    <row r="5" spans="1:5" ht="15" thickBot="1">
      <c r="A5" s="521">
        <v>44206</v>
      </c>
      <c r="B5" s="522" t="s">
        <v>530</v>
      </c>
      <c r="C5" s="522" t="s">
        <v>528</v>
      </c>
      <c r="D5" s="522">
        <v>329.84</v>
      </c>
      <c r="E5" s="522" t="s">
        <v>531</v>
      </c>
    </row>
    <row r="6" spans="1:5" ht="15" thickBot="1">
      <c r="A6" s="521">
        <v>44237</v>
      </c>
      <c r="B6" s="522" t="s">
        <v>532</v>
      </c>
      <c r="C6" s="522" t="s">
        <v>528</v>
      </c>
      <c r="D6" s="522">
        <v>323.02</v>
      </c>
      <c r="E6" s="522" t="s">
        <v>533</v>
      </c>
    </row>
    <row r="7" spans="1:5" ht="15" thickBot="1">
      <c r="A7" s="521">
        <v>44265</v>
      </c>
      <c r="B7" s="522" t="s">
        <v>534</v>
      </c>
      <c r="C7" s="522" t="s">
        <v>528</v>
      </c>
      <c r="D7" s="522">
        <v>285.32</v>
      </c>
      <c r="E7" s="522" t="s">
        <v>535</v>
      </c>
    </row>
    <row r="8" spans="1:5" ht="15" thickBot="1">
      <c r="A8" s="521">
        <v>44296</v>
      </c>
      <c r="B8" s="522" t="s">
        <v>536</v>
      </c>
      <c r="C8" s="522" t="s">
        <v>528</v>
      </c>
      <c r="D8" s="522">
        <v>309.07</v>
      </c>
      <c r="E8" s="522" t="s">
        <v>537</v>
      </c>
    </row>
    <row r="9" spans="1:5" ht="15" thickBot="1">
      <c r="A9" s="521">
        <v>44326</v>
      </c>
      <c r="B9" s="522" t="s">
        <v>538</v>
      </c>
      <c r="C9" s="522" t="s">
        <v>528</v>
      </c>
      <c r="D9" s="522">
        <v>292.5</v>
      </c>
      <c r="E9" s="522" t="s">
        <v>539</v>
      </c>
    </row>
    <row r="10" spans="1:5" ht="15" thickBot="1">
      <c r="A10" s="521">
        <v>44357</v>
      </c>
      <c r="B10" s="522" t="s">
        <v>540</v>
      </c>
      <c r="C10" s="522" t="s">
        <v>528</v>
      </c>
      <c r="D10" s="522">
        <v>295.43</v>
      </c>
      <c r="E10" s="522" t="s">
        <v>541</v>
      </c>
    </row>
    <row r="11" spans="1:5" ht="15" thickBot="1">
      <c r="A11" s="521">
        <v>44387</v>
      </c>
      <c r="B11" s="522" t="s">
        <v>542</v>
      </c>
      <c r="C11" s="522" t="s">
        <v>528</v>
      </c>
      <c r="D11" s="522">
        <v>279.3</v>
      </c>
      <c r="E11" s="522" t="s">
        <v>543</v>
      </c>
    </row>
    <row r="12" spans="1:5" ht="15" thickBot="1">
      <c r="A12" s="521">
        <v>44418</v>
      </c>
      <c r="B12" s="522" t="s">
        <v>544</v>
      </c>
      <c r="C12" s="522" t="s">
        <v>528</v>
      </c>
      <c r="D12" s="522">
        <v>281.79</v>
      </c>
      <c r="E12" s="522" t="s">
        <v>545</v>
      </c>
    </row>
    <row r="13" spans="1:5" ht="15" thickBot="1">
      <c r="A13" s="521">
        <v>44449</v>
      </c>
      <c r="B13" s="522" t="s">
        <v>546</v>
      </c>
      <c r="C13" s="522" t="s">
        <v>528</v>
      </c>
      <c r="D13" s="522">
        <v>274.66</v>
      </c>
      <c r="E13" s="522" t="s">
        <v>547</v>
      </c>
    </row>
    <row r="14" spans="1:5" ht="15" thickBot="1">
      <c r="A14" s="521">
        <v>44479</v>
      </c>
      <c r="B14" s="522" t="s">
        <v>548</v>
      </c>
      <c r="C14" s="522" t="s">
        <v>528</v>
      </c>
      <c r="D14" s="522">
        <v>259.2</v>
      </c>
      <c r="E14" s="522" t="s">
        <v>549</v>
      </c>
    </row>
    <row r="15" spans="1:5" ht="15" thickBot="1">
      <c r="A15" s="521">
        <v>44510</v>
      </c>
      <c r="B15" s="522" t="s">
        <v>550</v>
      </c>
      <c r="C15" s="522" t="s">
        <v>528</v>
      </c>
      <c r="D15" s="522">
        <v>261.02</v>
      </c>
      <c r="E15" s="522" t="s">
        <v>551</v>
      </c>
    </row>
    <row r="16" spans="1:5" ht="15" thickBot="1">
      <c r="A16" s="521">
        <v>44540</v>
      </c>
      <c r="B16" s="522" t="s">
        <v>552</v>
      </c>
      <c r="C16" s="522" t="s">
        <v>528</v>
      </c>
      <c r="D16" s="522">
        <v>246</v>
      </c>
      <c r="E16" s="522" t="s">
        <v>553</v>
      </c>
    </row>
    <row r="17" spans="1:5" ht="15.75" thickBot="1">
      <c r="A17" s="521"/>
      <c r="B17" s="522"/>
      <c r="C17" s="523">
        <v>81134.76</v>
      </c>
      <c r="D17" s="523">
        <f>SUM(D5:D16)</f>
        <v>3437.1499999999996</v>
      </c>
      <c r="E17" s="522"/>
    </row>
    <row r="18" spans="1:5" ht="15" thickBot="1">
      <c r="A18" s="521">
        <v>44571</v>
      </c>
      <c r="B18" s="522" t="s">
        <v>554</v>
      </c>
      <c r="C18" s="522" t="s">
        <v>528</v>
      </c>
      <c r="D18" s="522">
        <v>247.38</v>
      </c>
      <c r="E18" s="522" t="s">
        <v>555</v>
      </c>
    </row>
    <row r="19" spans="1:5" ht="15" thickBot="1">
      <c r="A19" s="521">
        <v>44602</v>
      </c>
      <c r="B19" s="522" t="s">
        <v>556</v>
      </c>
      <c r="C19" s="522" t="s">
        <v>528</v>
      </c>
      <c r="D19" s="522">
        <v>240.56</v>
      </c>
      <c r="E19" s="522" t="s">
        <v>557</v>
      </c>
    </row>
    <row r="20" spans="1:5" ht="15" thickBot="1">
      <c r="A20" s="521">
        <v>44630</v>
      </c>
      <c r="B20" s="522" t="s">
        <v>558</v>
      </c>
      <c r="C20" s="522" t="s">
        <v>528</v>
      </c>
      <c r="D20" s="522">
        <v>211.12</v>
      </c>
      <c r="E20" s="522" t="s">
        <v>559</v>
      </c>
    </row>
    <row r="21" spans="1:5" ht="15" thickBot="1">
      <c r="A21" s="521">
        <v>44661</v>
      </c>
      <c r="B21" s="522" t="s">
        <v>560</v>
      </c>
      <c r="C21" s="522" t="s">
        <v>528</v>
      </c>
      <c r="D21" s="522">
        <v>226.61</v>
      </c>
      <c r="E21" s="522" t="s">
        <v>561</v>
      </c>
    </row>
    <row r="22" spans="1:5" ht="15" thickBot="1">
      <c r="A22" s="521">
        <v>44691</v>
      </c>
      <c r="B22" s="522" t="s">
        <v>562</v>
      </c>
      <c r="C22" s="522" t="s">
        <v>528</v>
      </c>
      <c r="D22" s="522">
        <v>212.7</v>
      </c>
      <c r="E22" s="522" t="s">
        <v>563</v>
      </c>
    </row>
    <row r="23" spans="1:5" ht="15" thickBot="1">
      <c r="A23" s="521">
        <v>44722</v>
      </c>
      <c r="B23" s="522" t="s">
        <v>564</v>
      </c>
      <c r="C23" s="522" t="s">
        <v>528</v>
      </c>
      <c r="D23" s="522">
        <v>212.97</v>
      </c>
      <c r="E23" s="522" t="s">
        <v>565</v>
      </c>
    </row>
    <row r="24" spans="1:5" ht="15" thickBot="1">
      <c r="A24" s="521">
        <v>44752</v>
      </c>
      <c r="B24" s="522" t="s">
        <v>566</v>
      </c>
      <c r="C24" s="522" t="s">
        <v>528</v>
      </c>
      <c r="D24" s="522">
        <v>199.5</v>
      </c>
      <c r="E24" s="522" t="s">
        <v>567</v>
      </c>
    </row>
    <row r="25" spans="1:5" ht="15" thickBot="1">
      <c r="A25" s="521">
        <v>44783</v>
      </c>
      <c r="B25" s="522" t="s">
        <v>568</v>
      </c>
      <c r="C25" s="522" t="s">
        <v>528</v>
      </c>
      <c r="D25" s="522">
        <v>199.33</v>
      </c>
      <c r="E25" s="522" t="s">
        <v>569</v>
      </c>
    </row>
    <row r="26" spans="1:5" ht="15" thickBot="1">
      <c r="A26" s="521">
        <v>44814</v>
      </c>
      <c r="B26" s="522" t="s">
        <v>570</v>
      </c>
      <c r="C26" s="522" t="s">
        <v>528</v>
      </c>
      <c r="D26" s="522">
        <v>192.51</v>
      </c>
      <c r="E26" s="522" t="s">
        <v>571</v>
      </c>
    </row>
    <row r="27" spans="1:5" ht="15" thickBot="1">
      <c r="A27" s="521">
        <v>44844</v>
      </c>
      <c r="B27" s="522" t="s">
        <v>572</v>
      </c>
      <c r="C27" s="522" t="s">
        <v>528</v>
      </c>
      <c r="D27" s="522">
        <v>179.4</v>
      </c>
      <c r="E27" s="522" t="s">
        <v>573</v>
      </c>
    </row>
    <row r="28" spans="1:5" ht="15" thickBot="1">
      <c r="A28" s="521">
        <v>44875</v>
      </c>
      <c r="B28" s="522" t="s">
        <v>574</v>
      </c>
      <c r="C28" s="522" t="s">
        <v>528</v>
      </c>
      <c r="D28" s="522">
        <v>178.56</v>
      </c>
      <c r="E28" s="522" t="s">
        <v>575</v>
      </c>
    </row>
    <row r="29" spans="1:5" ht="15" thickBot="1">
      <c r="A29" s="521">
        <v>44905</v>
      </c>
      <c r="B29" s="522" t="s">
        <v>576</v>
      </c>
      <c r="C29" s="522" t="s">
        <v>528</v>
      </c>
      <c r="D29" s="522">
        <v>166.2</v>
      </c>
      <c r="E29" s="522" t="s">
        <v>577</v>
      </c>
    </row>
    <row r="30" spans="1:5" ht="15.75" thickBot="1">
      <c r="A30" s="521"/>
      <c r="B30" s="522"/>
      <c r="C30" s="523">
        <v>81134.76</v>
      </c>
      <c r="D30" s="523">
        <f>SUM(D18:D29)</f>
        <v>2466.8399999999997</v>
      </c>
      <c r="E30" s="522"/>
    </row>
    <row r="31" spans="1:5" ht="15" thickBot="1">
      <c r="A31" s="521">
        <v>44936</v>
      </c>
      <c r="B31" s="522" t="s">
        <v>578</v>
      </c>
      <c r="C31" s="522" t="s">
        <v>528</v>
      </c>
      <c r="D31" s="522">
        <v>164.92</v>
      </c>
      <c r="E31" s="522" t="s">
        <v>579</v>
      </c>
    </row>
    <row r="32" spans="1:5" ht="15" thickBot="1">
      <c r="A32" s="521">
        <v>44967</v>
      </c>
      <c r="B32" s="522" t="s">
        <v>580</v>
      </c>
      <c r="C32" s="522" t="s">
        <v>528</v>
      </c>
      <c r="D32" s="522">
        <v>158.1</v>
      </c>
      <c r="E32" s="522" t="s">
        <v>581</v>
      </c>
    </row>
    <row r="33" spans="1:5" ht="15" thickBot="1">
      <c r="A33" s="521">
        <v>44995</v>
      </c>
      <c r="B33" s="522" t="s">
        <v>582</v>
      </c>
      <c r="C33" s="522" t="s">
        <v>528</v>
      </c>
      <c r="D33" s="522">
        <v>136.64</v>
      </c>
      <c r="E33" s="522" t="s">
        <v>583</v>
      </c>
    </row>
    <row r="34" spans="1:5" ht="15" thickBot="1">
      <c r="A34" s="521">
        <v>45026</v>
      </c>
      <c r="B34" s="522" t="s">
        <v>584</v>
      </c>
      <c r="C34" s="522" t="s">
        <v>528</v>
      </c>
      <c r="D34" s="522">
        <v>144.15</v>
      </c>
      <c r="E34" s="522" t="s">
        <v>585</v>
      </c>
    </row>
    <row r="35" spans="1:5" ht="15" thickBot="1">
      <c r="A35" s="521">
        <v>45056</v>
      </c>
      <c r="B35" s="522" t="s">
        <v>586</v>
      </c>
      <c r="C35" s="522" t="s">
        <v>528</v>
      </c>
      <c r="D35" s="522">
        <v>132.9</v>
      </c>
      <c r="E35" s="522" t="s">
        <v>587</v>
      </c>
    </row>
    <row r="36" spans="1:5" ht="15" thickBot="1">
      <c r="A36" s="521">
        <v>45087</v>
      </c>
      <c r="B36" s="522" t="s">
        <v>588</v>
      </c>
      <c r="C36" s="522" t="s">
        <v>528</v>
      </c>
      <c r="D36" s="522">
        <v>130.51</v>
      </c>
      <c r="E36" s="522" t="s">
        <v>589</v>
      </c>
    </row>
    <row r="37" spans="1:5" ht="15" thickBot="1">
      <c r="A37" s="521">
        <v>45117</v>
      </c>
      <c r="B37" s="522" t="s">
        <v>590</v>
      </c>
      <c r="C37" s="522" t="s">
        <v>528</v>
      </c>
      <c r="D37" s="522">
        <v>119.7</v>
      </c>
      <c r="E37" s="522" t="s">
        <v>591</v>
      </c>
    </row>
    <row r="38" spans="1:5" ht="15" thickBot="1">
      <c r="A38" s="521">
        <v>45148</v>
      </c>
      <c r="B38" s="522" t="s">
        <v>592</v>
      </c>
      <c r="C38" s="522" t="s">
        <v>528</v>
      </c>
      <c r="D38" s="522">
        <v>116.87</v>
      </c>
      <c r="E38" s="522" t="s">
        <v>593</v>
      </c>
    </row>
    <row r="39" spans="1:5" ht="15" thickBot="1">
      <c r="A39" s="521">
        <v>45179</v>
      </c>
      <c r="B39" s="522" t="s">
        <v>594</v>
      </c>
      <c r="C39" s="522" t="s">
        <v>528</v>
      </c>
      <c r="D39" s="522">
        <v>110.05</v>
      </c>
      <c r="E39" s="522" t="s">
        <v>595</v>
      </c>
    </row>
    <row r="40" spans="1:5" ht="15" thickBot="1">
      <c r="A40" s="521">
        <v>45209</v>
      </c>
      <c r="B40" s="522" t="s">
        <v>596</v>
      </c>
      <c r="C40" s="522" t="s">
        <v>528</v>
      </c>
      <c r="D40" s="522">
        <v>99.6</v>
      </c>
      <c r="E40" s="522" t="s">
        <v>597</v>
      </c>
    </row>
    <row r="41" spans="1:5" ht="15" thickBot="1">
      <c r="A41" s="521">
        <v>45240</v>
      </c>
      <c r="B41" s="522" t="s">
        <v>598</v>
      </c>
      <c r="C41" s="522" t="s">
        <v>528</v>
      </c>
      <c r="D41" s="522">
        <v>96.1</v>
      </c>
      <c r="E41" s="522" t="s">
        <v>599</v>
      </c>
    </row>
    <row r="42" spans="1:5" ht="15" thickBot="1">
      <c r="A42" s="521">
        <v>45270</v>
      </c>
      <c r="B42" s="522" t="s">
        <v>600</v>
      </c>
      <c r="C42" s="522" t="s">
        <v>528</v>
      </c>
      <c r="D42" s="522">
        <v>86.4</v>
      </c>
      <c r="E42" s="522" t="s">
        <v>601</v>
      </c>
    </row>
    <row r="43" spans="1:5" ht="15.75" thickBot="1">
      <c r="A43" s="521"/>
      <c r="B43" s="522"/>
      <c r="C43" s="523">
        <v>81134.76</v>
      </c>
      <c r="D43" s="523">
        <f>SUM(D31:D42)</f>
        <v>1495.9399999999998</v>
      </c>
      <c r="E43" s="522"/>
    </row>
    <row r="44" spans="1:5" ht="15" thickBot="1">
      <c r="A44" s="521">
        <v>45301</v>
      </c>
      <c r="B44" s="522" t="s">
        <v>602</v>
      </c>
      <c r="C44" s="522" t="s">
        <v>528</v>
      </c>
      <c r="D44" s="522">
        <v>82.46</v>
      </c>
      <c r="E44" s="522" t="s">
        <v>603</v>
      </c>
    </row>
    <row r="45" spans="1:5" ht="15" thickBot="1">
      <c r="A45" s="521">
        <v>45332</v>
      </c>
      <c r="B45" s="522" t="s">
        <v>604</v>
      </c>
      <c r="C45" s="522" t="s">
        <v>528</v>
      </c>
      <c r="D45" s="522">
        <v>75.64</v>
      </c>
      <c r="E45" s="522" t="s">
        <v>605</v>
      </c>
    </row>
    <row r="46" spans="1:5" ht="15" thickBot="1">
      <c r="A46" s="521">
        <v>45361</v>
      </c>
      <c r="B46" s="522" t="s">
        <v>606</v>
      </c>
      <c r="C46" s="522" t="s">
        <v>528</v>
      </c>
      <c r="D46" s="522">
        <v>64.38</v>
      </c>
      <c r="E46" s="522" t="s">
        <v>607</v>
      </c>
    </row>
    <row r="47" spans="1:5" ht="15" thickBot="1">
      <c r="A47" s="521">
        <v>45392</v>
      </c>
      <c r="B47" s="522" t="s">
        <v>608</v>
      </c>
      <c r="C47" s="522" t="s">
        <v>528</v>
      </c>
      <c r="D47" s="522">
        <v>61.69</v>
      </c>
      <c r="E47" s="522" t="s">
        <v>609</v>
      </c>
    </row>
    <row r="48" spans="1:5" ht="15" thickBot="1">
      <c r="A48" s="521">
        <v>45422</v>
      </c>
      <c r="B48" s="522" t="s">
        <v>610</v>
      </c>
      <c r="C48" s="522" t="s">
        <v>528</v>
      </c>
      <c r="D48" s="522">
        <v>53.1</v>
      </c>
      <c r="E48" s="522" t="s">
        <v>611</v>
      </c>
    </row>
    <row r="49" spans="1:5" ht="15" thickBot="1">
      <c r="A49" s="521">
        <v>45453</v>
      </c>
      <c r="B49" s="522" t="s">
        <v>612</v>
      </c>
      <c r="C49" s="522" t="s">
        <v>528</v>
      </c>
      <c r="D49" s="522">
        <v>48.05</v>
      </c>
      <c r="E49" s="522" t="s">
        <v>613</v>
      </c>
    </row>
    <row r="50" spans="1:5" ht="15" thickBot="1">
      <c r="A50" s="521">
        <v>45483</v>
      </c>
      <c r="B50" s="522" t="s">
        <v>614</v>
      </c>
      <c r="C50" s="522" t="s">
        <v>528</v>
      </c>
      <c r="D50" s="522">
        <v>39.9</v>
      </c>
      <c r="E50" s="522" t="s">
        <v>615</v>
      </c>
    </row>
    <row r="51" spans="1:5" ht="15" thickBot="1">
      <c r="A51" s="521">
        <v>45514</v>
      </c>
      <c r="B51" s="522" t="s">
        <v>616</v>
      </c>
      <c r="C51" s="522" t="s">
        <v>528</v>
      </c>
      <c r="D51" s="522">
        <v>34.41</v>
      </c>
      <c r="E51" s="522" t="s">
        <v>617</v>
      </c>
    </row>
    <row r="52" spans="1:5" ht="15" thickBot="1">
      <c r="A52" s="521">
        <v>45545</v>
      </c>
      <c r="B52" s="522" t="s">
        <v>618</v>
      </c>
      <c r="C52" s="522" t="s">
        <v>528</v>
      </c>
      <c r="D52" s="522">
        <v>27.59</v>
      </c>
      <c r="E52" s="522" t="s">
        <v>619</v>
      </c>
    </row>
    <row r="53" spans="1:5" ht="15" thickBot="1">
      <c r="A53" s="521">
        <v>45575</v>
      </c>
      <c r="B53" s="522" t="s">
        <v>620</v>
      </c>
      <c r="C53" s="522" t="s">
        <v>528</v>
      </c>
      <c r="D53" s="522">
        <v>19.8</v>
      </c>
      <c r="E53" s="522" t="s">
        <v>621</v>
      </c>
    </row>
    <row r="54" spans="1:5" ht="15" thickBot="1">
      <c r="A54" s="521">
        <v>45606</v>
      </c>
      <c r="B54" s="522" t="s">
        <v>622</v>
      </c>
      <c r="C54" s="522" t="s">
        <v>528</v>
      </c>
      <c r="D54" s="522">
        <v>13.64</v>
      </c>
      <c r="E54" s="522" t="s">
        <v>623</v>
      </c>
    </row>
    <row r="55" spans="1:5" ht="14.25">
      <c r="A55" s="521">
        <v>45636</v>
      </c>
      <c r="B55" s="522" t="s">
        <v>624</v>
      </c>
      <c r="C55" s="522" t="s">
        <v>624</v>
      </c>
      <c r="D55" s="522">
        <v>6.6</v>
      </c>
      <c r="E55" s="522" t="s">
        <v>625</v>
      </c>
    </row>
    <row r="57" spans="3:4" ht="12.75">
      <c r="C57" s="524">
        <v>81134.76</v>
      </c>
      <c r="D57" s="524">
        <f>SUM(D44:D56)</f>
        <v>527.26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21.8515625" defaultRowHeight="17.25" customHeight="1"/>
  <cols>
    <col min="1" max="1" width="39.28125" style="0" customWidth="1"/>
    <col min="2" max="2" width="8.8515625" style="0" customWidth="1"/>
    <col min="3" max="3" width="9.421875" style="0" customWidth="1"/>
    <col min="4" max="4" width="8.00390625" style="0" customWidth="1"/>
    <col min="5" max="5" width="8.140625" style="0" customWidth="1"/>
    <col min="6" max="6" width="8.710937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Külli Mõttus</cp:lastModifiedBy>
  <cp:lastPrinted>2020-08-10T05:55:04Z</cp:lastPrinted>
  <dcterms:created xsi:type="dcterms:W3CDTF">2009-03-11T11:38:40Z</dcterms:created>
  <dcterms:modified xsi:type="dcterms:W3CDTF">2020-10-14T05:47:13Z</dcterms:modified>
  <cp:category/>
  <cp:version/>
  <cp:contentType/>
  <cp:contentStatus/>
</cp:coreProperties>
</file>